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servenus\Usuarios Hospital\CONTROL_INTERNO\ZULIM - SANDY\2024\"/>
    </mc:Choice>
  </mc:AlternateContent>
  <xr:revisionPtr revIDLastSave="0" documentId="13_ncr:1_{DC0DCDF5-2609-4C05-B195-E3E434C9D905}" xr6:coauthVersionLast="47" xr6:coauthVersionMax="47" xr10:uidLastSave="{00000000-0000-0000-0000-000000000000}"/>
  <bookViews>
    <workbookView xWindow="-120" yWindow="-120" windowWidth="29040" windowHeight="15840" activeTab="2"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 name="_xlnm.Print_Area" localSheetId="3">Conclusión!$A$1:$P$38</definedName>
    <definedName name="_xlnm.Print_Area" localSheetId="1">'Estado SCI'!$B$1:$I$60</definedName>
  </definedNames>
  <calcPr calcId="191029"/>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<sst xmlns="http://schemas.openxmlformats.org/spreadsheetml/2006/main" count="514" uniqueCount="245">
  <si>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</si>
  <si>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</si>
  <si>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</si>
  <si>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</si>
  <si>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</si>
  <si>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</si>
  <si>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</si>
  <si>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</si>
  <si>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</si>
  <si>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</si>
  <si>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</si>
  <si>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</si>
  <si>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</si>
  <si>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</si>
  <si>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</si>
  <si>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</si>
  <si>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</si>
  <si>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</si>
  <si>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</si>
  <si>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</si>
  <si>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</si>
  <si>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</si>
  <si>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</si>
  <si>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</si>
  <si>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</si>
  <si>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</si>
  <si>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</si>
  <si>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</si>
  <si>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</si>
  <si>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</si>
  <si>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</si>
  <si>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</si>
  <si>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</si>
  <si>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</si>
  <si>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</si>
  <si>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</si>
  <si>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</si>
  <si>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</si>
  <si>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</si>
  <si>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</si>
  <si>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</si>
  <si>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</si>
  <si>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</si>
  <si>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</si>
  <si>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</si>
  <si>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</si>
  <si>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</si>
  <si>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</si>
  <si>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</si>
  <si>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</si>
  <si>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</si>
  <si>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</si>
  <si>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</si>
  <si>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</si>
  <si>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</si>
  <si>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</si>
  <si>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</si>
  <si>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</si>
  <si>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</si>
  <si>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</si>
  <si>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</si>
  <si>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</si>
  <si>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</si>
  <si>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</si>
  <si>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</si>
  <si>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</si>
  <si>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</si>
  <si>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</si>
  <si>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</si>
  <si>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</si>
  <si>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</si>
  <si>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</si>
  <si>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</si>
  <si>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</si>
  <si>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</si>
  <si>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</si>
  <si>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</si>
  <si>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</si>
  <si>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</si>
  <si>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</si>
  <si>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</si>
  <si>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</si>
  <si>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</si>
  <si>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</si>
  <si>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</si>
  <si>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</si>
  <si>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</si>
  <si>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</si>
  <si>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</si>
  <si>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</si>
  <si>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</si>
  <si>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</si>
  <si>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</si>
  <si>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</si>
  <si>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</si>
  <si>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</si>
  <si>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</si>
  <si>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</si>
  <si>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</si>
  <si>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</si>
  <si>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</si>
  <si>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</si>
  <si>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</si>
  <si>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</si>
  <si>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</si>
  <si>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</si>
  <si>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</si>
  <si>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</si>
  <si>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</si>
  <si>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</si>
  <si>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</si>
  <si>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</si>
  <si>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</si>
  <si>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</si>
  <si>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</si>
  <si>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</si>
  <si>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</si>
  <si>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</si>
  <si>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</si>
  <si>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</si>
  <si>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</si>
  <si>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</si>
  <si>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</si>
  <si>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</si>
  <si>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</si>
  <si>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</si>
  <si>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</si>
  <si>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</si>
  <si>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</si>
  <si>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</si>
  <si>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</si>
  <si>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</si>
  <si>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</si>
  <si>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</si>
  <si>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</si>
  <si>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</si>
  <si>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</si>
  <si>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</si>
  <si>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</si>
  <si>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</si>
  <si>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</si>
  <si>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</si>
  <si>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</si>
  <si>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</si>
  <si>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</si>
  <si>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</si>
  <si>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</si>
  <si>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</si>
  <si>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</si>
  <si>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</si>
  <si>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</si>
  <si>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</si>
  <si>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</si>
  <si>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</si>
  <si>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</si>
  <si>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</si>
  <si>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</si>
  <si>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</si>
  <si>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</si>
  <si>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</si>
  <si>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</si>
  <si>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</si>
  <si>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</si>
  <si>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</si>
  <si>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</si>
  <si>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</si>
  <si>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</si>
  <si>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</si>
  <si>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</si>
  <si>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</si>
  <si>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</si>
  <si>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</si>
  <si>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</si>
  <si>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</si>
  <si>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</si>
  <si>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</si>
  <si>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</si>
  <si>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</si>
  <si>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</si>
  <si>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</si>
  <si>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</si>
  <si>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</si>
  <si>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</si>
  <si>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</si>
  <si>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</si>
  <si>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</si>
  <si>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</si>
  <si>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</si>
  <si>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</si>
  <si>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</si>
  <si>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</si>
  <si>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E.S.E. HOSPITAL SAGRADO CORAZON DE JESUS</t>
  </si>
  <si>
    <t>El Sistema de Control Interno está en fortalecimiento mediante diferentes instrumentos metodológicos y la asesoría permanente de Control Interno y Calidad, por lo que se puede conceptuar que el estado general del sistema de control interno se consolida.</t>
  </si>
  <si>
    <t>El jefe de la Oficina de Control Interno, en su calidad de tercera línea de defensa proporciona información sobre la efectividad del Sistema de Control Interno a través de un enfoque basado en riesgos, incluida las actividades de la primera y segunda línea de defensa, de manera independiente y objetiva. El alcance de este aseguramiento se ejecuta através de las auditorías internas y abarca todos los componentes del Sistema de Control Interno.</t>
  </si>
  <si>
    <t>El organigrama de la E.S.E. fue socializado a todos los funcionarios y representación gráficamente la estructura de la empresa, en la cual se muestra la cadena de mandos por areas, asocia tareas y responsabilidad a cada grupo y determina el ambito de control.</t>
  </si>
  <si>
    <t>Se socializan los Ccmponentes (Ambiente de control, Administración del riesgo; Actividades de control; Información y comunicación; Actividades de monitoreo); para el ejercicio del control interno; donde intervienen todos los servidores de la entidad, como responsables del control en el ejercicio de sus actividades; busca garantizar razonablemente el cumplimiento de los objetivos institucionales.</t>
  </si>
  <si>
    <t>se efectuan las evaluaciones en los periodos correspondientes</t>
  </si>
  <si>
    <t>Para desvincular un servidor publico se da cumpliendo a la constitucion y las leyes.</t>
  </si>
  <si>
    <t>Los informes de gestion se presentan oportunamente a las autoridades competentes.</t>
  </si>
  <si>
    <t>Pagina web institucional, lineas telefonica, comunicación directa con los usuarios, CALL CENTER; correos institucionales entre otros.</t>
  </si>
  <si>
    <t>Es imortante resaltar que la mayoría de los procesos han tenido un desarrollo significativo, no obstante el plan de gestión documental que se encuntra en proceso le falta solidez para cumplir con las metas y objetivos institucionales.</t>
  </si>
  <si>
    <t>ENERO - JUNIO 2024</t>
  </si>
  <si>
    <t>Se socializan todos los planes (plan de desarrollo institucional; plan operativo anual, planes de mejoramiento; PAMEC; MIPG, mapa de riesgo, plan anticorrupción, entre otros); a todos los funcionarios de la entidad en ejercicio de sus actividades)</t>
  </si>
  <si>
    <t>El manual de funciones requiere actualización</t>
  </si>
  <si>
    <t>se cuenta con la mayoria de los proceso y procedimientos; algunos se estan actualizando y otros en proceso de construcción de documentación y elaboración. Los flujogramas requieren ser diseñados y publicados por areea.</t>
  </si>
  <si>
    <t xml:space="preserve">Todos los servidores publicos de la ESE, se encuentran vinculados dentro de marco normativo que los rige. </t>
  </si>
  <si>
    <t xml:space="preserve">A todo el talento humano que ingresa a la institución se le efcetua inducción y reinduccion, como tambien existe planes de capacitación y bienestar social para los servidores publicos. </t>
  </si>
  <si>
    <t>Se efetua en audiencia publica participativa, con previa publicación de la fecha, elaboración de piezas comunicativas, publicidad del evento en redes sociales, convocando a la  comunidad en general y entes de control. Se tiene previsto para el 19 de julio de 2024</t>
  </si>
  <si>
    <t>Cada area de la institución se evalua para identificar aspectos negativos a traves del monitoreo y control del POA, MAPA DE RIESGO INTEGRAL Y PAAC.</t>
  </si>
  <si>
    <t>Se efctua atraves del mapa de riesgo, en el cual se detalla la identificación del tipo de riesgo, tales como gestión, corrupción, y digital</t>
  </si>
  <si>
    <t>Se identifican atraves del MAPA DE RIESGO INTEGRAL.</t>
  </si>
  <si>
    <t xml:space="preserve">En el mapa de riesgo institucional, se encuentran descritos los riesgos digitales, que corresponden a esta area. </t>
  </si>
  <si>
    <t xml:space="preserve">Se efectua seguimiento cuatrimestralmente a las accciones establecidas en el mapa de riesgo institucional para mitigar los riesgos de todas las areas. </t>
  </si>
  <si>
    <t xml:space="preserve">El talento humano de cada area presenta los avances de las acciones establecidas para la gestion del riesgo, ademas se realiza seguimiento medicante auditorias internas por parte de control interno y calidad. </t>
  </si>
  <si>
    <t>Se identifica en la evalaución que se realiza cuatrimestral, como tambien en las auditorias que se realizan a los procesos que lleva cada area de la entidad, lo que conlleva a dar recomendaciones por el equipo auditor y seguidamente se presenta un plan de mejora por el area auditada.</t>
  </si>
  <si>
    <t xml:space="preserve">Comité institucional de control interno, comité de gestión y desempeño. </t>
  </si>
  <si>
    <t xml:space="preserve">Las acciones se toman como producto de auditorias internas, cuando el responsable del proceso presenta plan de mejoramiento, asi mismo comparte la problemática ante gerencia y los comites ya descritos. </t>
  </si>
  <si>
    <t>Las acciones de mejora se efectuan cada vez que se detectan aspectos que afecten el cumplimiento de las metas.</t>
  </si>
  <si>
    <t xml:space="preserve">En el mapa de riesgo institucional se definen las actividades para mitigar los riesgos de cada gestión. </t>
  </si>
  <si>
    <t xml:space="preserve">Seguimiento cuatrimestral a las actividades de mitigacion de riesgo en cada dependencia con medición al impacto y riesgo residual de los mismos. </t>
  </si>
  <si>
    <t>Mapa de riesgo institucional y planes de mejora.</t>
  </si>
  <si>
    <t xml:space="preserve">El mapa de riesgo integral detalla los posibles riesgos de la entidad, como tambien detalla los riesgos de corrupción de la misma, seguimiento y control a traves de un aplicativo. </t>
  </si>
  <si>
    <t>PLAN ANTICORRUPCIÓN y  ATENCIÓN AL CIUDADANO, se encuentran publicados en la pagina de la ESE, y se monitorea a traves de un aplicativo que arroja los avances de cada componente.</t>
  </si>
  <si>
    <t xml:space="preserve">Coordinación del SIAU, sistema de información y cominucación. </t>
  </si>
  <si>
    <t>Correos institucionales, plataformas, lineas telefonicas, redes sociales, entre otros.</t>
  </si>
  <si>
    <t>El sistema esta diseñado en un sitio web y la base esta protegida y de caracter reservado. Se han creado roles de usuario para cada funcionario, sin embargo existe un procedimiento de acuerdo a la ley para entrega de copia de historias clinicas unicamente al usuario y a las autoridades competentes.</t>
  </si>
  <si>
    <t>En rendicion de cuentas a la ciudadania y a los entes de control se dan a conocer las gestiones realizadas por areas.</t>
  </si>
  <si>
    <t>La entidad cuenta con sus actos administrativos del presupuesto anual, normograma, identificacion del talento humano requerido, cuenta con la infraestructura fisica y tegnologica para desarrollar sus funciones y realiza la autoevaluación de servicios y declaración de autosuficiencia en el REPS.</t>
  </si>
  <si>
    <t>Cuenta con infraestructura  y tecnologia adecuada para soportar sus procesos</t>
  </si>
  <si>
    <t>Se cuenta con indicadores de gestion, lista de chequeos y cronogramas, aplicativos tanto en auditorias como en los mapas de riesgos.</t>
  </si>
  <si>
    <t>Programa de auditorias internas (anuales), indicadores de gestión, comité de control interno, POA, mapa de riesgo,plan anticorrupción, MIPG.</t>
  </si>
  <si>
    <t>Se efectuan planes de mejoras</t>
  </si>
  <si>
    <t>Se efectuan seguimientos periodicos a los planes de mejoramiento.</t>
  </si>
  <si>
    <t>No se detallan actividades.</t>
  </si>
  <si>
    <t xml:space="preserve">Se identifican los riesgos, se gestionan a traves de acciones de mejora y se mide el impacto del riesgo residual. </t>
  </si>
  <si>
    <t>con auditorias internas, se socializan a la alta gerencia a traves del comité de control interno y comité de gestión y desempeño.</t>
  </si>
  <si>
    <t xml:space="preserve">Se diseñan e implementan las acciones para controlar los riesgos en cada gestión, consignadas en el mapa de riesgo integral. </t>
  </si>
  <si>
    <t xml:space="preserve">Se ejecutan las actividades plasmadas en el POA, mapa de riesgo, PAAC, para cada dependencia. </t>
  </si>
  <si>
    <t xml:space="preserve">Con planes de mejoramiento y a traves de los comité institucionales. </t>
  </si>
  <si>
    <t xml:space="preserve">Se encuntra presente  y funciona correctamente, por tanto se requiere de acciones y/o actividades direccionadas a su continuidad  dentro del marco de las lineas de defensas. 
FORTALEZAS: La Entidad cuenta con Código de integridad, Página web institucional, Comité Intitucional Coordinación  de Control Interno activo, Política de administración de Riesgos, Plan de Desarrollo Institucional, Plan de Gestión General, Plan Operativo Anual, Plan Estratégico del Talento Humano, Plan Anual de Auditorías.
DEBILIDADES: La entidad debe fortalecer la documentación de procesos y procedimientos a fin de mejorar la calidad del servicio. 
</t>
  </si>
  <si>
    <t xml:space="preserve">Se  encuentra presente y funcionando correctamente, por tanto  se requiere de acciones y/o actividades direccionadas a su continuidad  dentro del marco de las líneas de defensas.                                                                                                                                                                                                                                                                                                     FORTSLEZA: La entdad  cuenta con un Plan de Desarrollo, Plan Operativo anual, Plan de auditoría para el mejoramiento de la calidad-PAMEC, Política de administración de Riesgos, Indicadores para la evaluación de planes, programas, proyectos, Manual de Funciones y Competencias Laborales. BEBILIDADES: Capacitar permanenetemente a los lideres de los procesos, para ser mas efectiva el desarrollo de la politica de operación. </t>
  </si>
  <si>
    <t xml:space="preserve">Se encuentra presente y funcionando correctamente, por tanto se requiere de acciones y/o actividades direccionadas a su continuidad  dentro del marco de las líneas de defensas.                                                                                                                                                                                                                                                                                            FORTALEZAS: La Entidad  desarrolla el mapa de riesgo integral, el PAAC. Los seguimiento de ambos se realizan a traves de un aplicativo que tiene la entidad  y las evaluaciones son publicadas oportunadamente en la pagina web institucional.                                                                                                                           DEBILIDADES: Implementar estrategias que conlleven a mitigar los riesgos. </t>
  </si>
  <si>
    <t xml:space="preserve">Se encuentra presente y funcionando correctamente, por tanto se requiere de acciones y/o actividades deireccionadas a su continuidad dentro del marco de las líneas de defensas.                                                                                                                                                                                                                                                                                                   FORTALEZAS: La entidad cuenta con un Plan anual de auditorías basado en riesgos, el cual es aprobado dentro del Comité Institucional de Coordinación de Control Interno. El Jefe de la oficina de Control Interno, cuenta cn las herramientas necesarias para evaluar la efectividad del Sistema de Control Interno Institucional.                                                                                                                                                                                                                                                                     DEBILIDADES: La ESE no participa en el comite municipal de auditoria, ya que el municipio no lo ha implementado.                                                                                                                                                                                                                                                                                                                                                    </t>
  </si>
  <si>
    <t xml:space="preserve">Se encuentra  presente y funcionando correctamente, por tanto se requiere de acciones y/o actividades direccionadas a su continuidad dentro del marco de las líneas de defensas.                                                                                                                                                                                                                                                                                              FORTALEZAS: La Entidad  cuenta con medios y canales de comunicación.                                                                                                                                                                                                                                                                                                                             DEBILIDADES: No contamos con UPS como tampoco se ha realizado la capacitación en seguridad digital.                                           </t>
  </si>
  <si>
    <t xml:space="preserve">El codigo de integridad y buen gobierno, se encuentra documentado y se tiene programado su socialización para a los funcionarios y contratistas de la ESE el 24 de julio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</si>
</sst>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3"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sz val="12"/>
      <color theme="1"/>
      <name val="Arial"/>
      <family val="2"/>
    </font>
    <font>
      <sz val="10"/>
      <color theme="1"/>
      <name val="Calibri"/>
      <family val="2"/>
      <scheme val="minor"/>
    </font>
    <font>
      <sz val="10"/>
      <color theme="1"/>
      <name val="Arial Narrow"/>
      <family val="2"/>
    </font>
    <font>
      <b/>
      <sz val="11"/>
      <name val="Arial Narrow"/>
      <family val="2"/>
    </font>
    <font>
      <sz val="10"/>
      <name val="Arial Narrow"/>
      <family val="2"/>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b/>
      <sz val="18"/>
      <color theme="1"/>
      <name val="Calibri"/>
      <family val="2"/>
      <scheme val="minor"/>
    </font>
    <font>
      <b/>
      <sz val="20"/>
      <name val="Arial"/>
      <family val="2"/>
    </font>
    <font>
      <sz val="18"/>
      <name val="Arial Narrow"/>
      <family val="2"/>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4"/>
      <color theme="1"/>
      <name val="Arial"/>
      <family val="2"/>
    </font>
    <font>
      <b/>
      <sz val="18"/>
      <color theme="0"/>
      <name val="Arial Narrow"/>
      <family val="2"/>
    </font>
    <font>
      <sz val="18"/>
      <color theme="0"/>
      <name val="Arial Narrow"/>
      <family val="2"/>
    </font>
    <font>
      <sz val="18"/>
      <color theme="1"/>
      <name val="Arial Narrow"/>
      <family val="2"/>
    </font>
    <font>
      <sz val="16"/>
      <name val="Arial"/>
      <family val="2"/>
    </font>
    <font>
      <sz val="16"/>
      <color theme="1"/>
      <name val="Arial"/>
      <family val="2"/>
    </font>
    <font>
      <sz val="18"/>
      <color theme="1"/>
      <name val="Calibri"/>
      <family val="2"/>
      <scheme val="minor"/>
    </font>
    <font>
      <sz val="28"/>
      <name val="Arial"/>
      <family val="2"/>
    </font>
    <font>
      <sz val="26"/>
      <name val="Arial"/>
      <family val="2"/>
    </font>
    <font>
      <sz val="26"/>
      <color theme="1"/>
      <name val="Arial"/>
      <family val="2"/>
    </font>
    <font>
      <sz val="11"/>
      <color theme="0"/>
      <name val="Arial"/>
      <family val="2"/>
    </font>
    <font>
      <b/>
      <sz val="26"/>
      <color theme="0"/>
      <name val="Arial"/>
      <family val="2"/>
    </font>
    <font>
      <sz val="26"/>
      <color theme="0"/>
      <name val="Arial"/>
      <family val="2"/>
    </font>
    <font>
      <sz val="28"/>
      <color theme="1"/>
      <name val="Arial"/>
      <family val="2"/>
    </font>
    <font>
      <b/>
      <sz val="28"/>
      <color theme="0"/>
      <name val="Arial"/>
      <family val="2"/>
    </font>
    <font>
      <b/>
      <sz val="18"/>
      <name val="Arial Narrow"/>
      <family val="2"/>
    </font>
    <font>
      <b/>
      <sz val="11"/>
      <color theme="0"/>
      <name val="Arial Narrow"/>
      <family val="2"/>
    </font>
    <font>
      <sz val="1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0" fillId="0" borderId="0"/>
    <xf numFmtId="0" fontId="25" fillId="0" borderId="0"/>
    <xf numFmtId="0" fontId="29" fillId="0" borderId="0"/>
  </cellStyleXfs>
  <cellXfs count="359">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19"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1" fillId="4" borderId="0" xfId="2" applyFont="1" applyFill="1" applyAlignment="1" applyProtection="1">
      <alignment vertical="center"/>
      <protection locked="0"/>
    </xf>
    <xf numFmtId="0" fontId="23" fillId="0" borderId="0" xfId="3" applyFont="1"/>
    <xf numFmtId="0" fontId="7" fillId="4" borderId="0" xfId="0" applyFont="1" applyFill="1"/>
    <xf numFmtId="0" fontId="7" fillId="0" borderId="0" xfId="0" applyFont="1"/>
    <xf numFmtId="0" fontId="32" fillId="0" borderId="0" xfId="0" applyFont="1" applyAlignment="1">
      <alignment vertical="top"/>
    </xf>
    <xf numFmtId="49" fontId="32" fillId="0" borderId="0" xfId="0" applyNumberFormat="1" applyFont="1" applyAlignment="1">
      <alignment horizontal="center" vertical="top"/>
    </xf>
    <xf numFmtId="0" fontId="23" fillId="4" borderId="0" xfId="3" applyFont="1" applyFill="1"/>
    <xf numFmtId="0" fontId="23" fillId="4" borderId="59" xfId="3" applyFont="1" applyFill="1" applyBorder="1" applyAlignment="1">
      <alignment vertical="top" wrapText="1"/>
    </xf>
    <xf numFmtId="0" fontId="23" fillId="4" borderId="0" xfId="3" applyFont="1" applyFill="1" applyAlignment="1">
      <alignment vertical="top" wrapText="1"/>
    </xf>
    <xf numFmtId="0" fontId="23" fillId="4" borderId="60" xfId="3" applyFont="1" applyFill="1" applyBorder="1" applyAlignment="1">
      <alignment vertical="top" wrapText="1"/>
    </xf>
    <xf numFmtId="0" fontId="23" fillId="4" borderId="59" xfId="3" applyFont="1" applyFill="1" applyBorder="1" applyAlignment="1">
      <alignment horizontal="left" vertical="top"/>
    </xf>
    <xf numFmtId="0" fontId="23" fillId="4" borderId="60" xfId="3" applyFont="1" applyFill="1" applyBorder="1" applyAlignment="1">
      <alignment horizontal="left" vertical="top"/>
    </xf>
    <xf numFmtId="0" fontId="23" fillId="4" borderId="59" xfId="3" applyFont="1" applyFill="1" applyBorder="1"/>
    <xf numFmtId="0" fontId="30" fillId="4" borderId="0" xfId="4" applyFont="1" applyFill="1" applyAlignment="1">
      <alignment horizontal="left" vertical="top" wrapText="1" readingOrder="1"/>
    </xf>
    <xf numFmtId="0" fontId="23" fillId="4" borderId="60" xfId="3" applyFont="1" applyFill="1" applyBorder="1"/>
    <xf numFmtId="0" fontId="23" fillId="4" borderId="72" xfId="3" applyFont="1" applyFill="1" applyBorder="1"/>
    <xf numFmtId="0" fontId="23" fillId="4" borderId="73" xfId="3" applyFont="1" applyFill="1" applyBorder="1"/>
    <xf numFmtId="0" fontId="23" fillId="4" borderId="74" xfId="3" applyFont="1" applyFill="1" applyBorder="1"/>
    <xf numFmtId="0" fontId="30" fillId="4" borderId="0" xfId="0" applyFont="1" applyFill="1" applyAlignment="1">
      <alignment horizontal="left" vertical="center" wrapText="1"/>
    </xf>
    <xf numFmtId="0" fontId="31" fillId="4" borderId="0" xfId="0" applyFont="1" applyFill="1" applyAlignment="1">
      <alignment horizontal="left" vertical="top" wrapText="1"/>
    </xf>
    <xf numFmtId="0" fontId="23" fillId="4" borderId="0" xfId="3" quotePrefix="1" applyFont="1" applyFill="1" applyAlignment="1">
      <alignment horizontal="left" vertical="center" wrapText="1"/>
    </xf>
    <xf numFmtId="0" fontId="28" fillId="4" borderId="0" xfId="3" applyFont="1" applyFill="1" applyAlignment="1">
      <alignment horizontal="left" vertical="center" wrapText="1"/>
    </xf>
    <xf numFmtId="0" fontId="23"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9" fillId="13" borderId="3" xfId="0" applyFont="1" applyFill="1" applyBorder="1" applyAlignment="1">
      <alignment horizontal="center" vertical="center" wrapText="1"/>
    </xf>
    <xf numFmtId="0" fontId="38"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39" fillId="2" borderId="3" xfId="0" applyFont="1" applyFill="1" applyBorder="1" applyAlignment="1">
      <alignment horizontal="center" vertical="center"/>
    </xf>
    <xf numFmtId="0" fontId="35" fillId="0" borderId="3" xfId="0" applyFont="1" applyBorder="1" applyAlignment="1">
      <alignment horizontal="center" vertical="center"/>
    </xf>
    <xf numFmtId="0" fontId="41" fillId="0" borderId="0" xfId="0" applyFont="1" applyAlignment="1">
      <alignment horizontal="center"/>
    </xf>
    <xf numFmtId="0" fontId="40" fillId="12" borderId="31" xfId="0" applyFont="1" applyFill="1" applyBorder="1" applyAlignment="1">
      <alignment horizontal="center" vertical="center" wrapText="1"/>
    </xf>
    <xf numFmtId="0" fontId="35" fillId="0" borderId="0" xfId="0" applyFont="1" applyAlignment="1">
      <alignment horizontal="center" vertical="center" wrapText="1"/>
    </xf>
    <xf numFmtId="0" fontId="22" fillId="4" borderId="0" xfId="2" applyFont="1" applyFill="1" applyAlignment="1">
      <alignment vertical="center" wrapText="1"/>
    </xf>
    <xf numFmtId="0" fontId="31" fillId="4" borderId="0" xfId="2" applyFont="1" applyFill="1" applyAlignment="1">
      <alignment vertical="center" wrapText="1"/>
    </xf>
    <xf numFmtId="0" fontId="32" fillId="0" borderId="0" xfId="0" applyFont="1" applyAlignment="1" applyProtection="1">
      <alignment horizontal="center" vertical="top"/>
      <protection hidden="1"/>
    </xf>
    <xf numFmtId="0" fontId="8" fillId="0" borderId="0" xfId="0" applyFont="1" applyAlignment="1" applyProtection="1">
      <alignment horizontal="center" vertical="top"/>
      <protection hidden="1"/>
    </xf>
    <xf numFmtId="49" fontId="8" fillId="0" borderId="0" xfId="0" applyNumberFormat="1" applyFont="1" applyAlignment="1" applyProtection="1">
      <alignment horizontal="center" vertical="top"/>
      <protection hidden="1"/>
    </xf>
    <xf numFmtId="0" fontId="8" fillId="0" borderId="0" xfId="0" applyFont="1" applyAlignment="1" applyProtection="1">
      <alignment vertical="top"/>
      <protection hidden="1"/>
    </xf>
    <xf numFmtId="0" fontId="1" fillId="0" borderId="2" xfId="0" applyFont="1" applyBorder="1" applyAlignment="1" applyProtection="1">
      <alignment horizontal="left" vertical="center" wrapText="1"/>
      <protection hidden="1"/>
    </xf>
    <xf numFmtId="0" fontId="1" fillId="0" borderId="3" xfId="0" applyFont="1" applyBorder="1" applyAlignment="1" applyProtection="1">
      <alignment horizontal="left" vertical="center" wrapText="1"/>
      <protection hidden="1"/>
    </xf>
    <xf numFmtId="0" fontId="1" fillId="0" borderId="4" xfId="0" applyFont="1" applyBorder="1" applyAlignment="1" applyProtection="1">
      <alignment horizontal="left" vertical="center" wrapText="1"/>
      <protection hidden="1"/>
    </xf>
    <xf numFmtId="0" fontId="1" fillId="0" borderId="7"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9" fontId="35" fillId="2" borderId="26" xfId="0" applyNumberFormat="1" applyFont="1" applyFill="1" applyBorder="1" applyAlignment="1" applyProtection="1">
      <alignment horizontal="center" vertical="center"/>
      <protection hidden="1"/>
    </xf>
    <xf numFmtId="0" fontId="35"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3" fillId="4" borderId="2" xfId="0" applyNumberFormat="1" applyFont="1" applyFill="1" applyBorder="1" applyAlignment="1" applyProtection="1">
      <alignment horizontal="center" vertical="center" wrapText="1"/>
      <protection locked="0"/>
    </xf>
    <xf numFmtId="49" fontId="43" fillId="4" borderId="3" xfId="0" applyNumberFormat="1" applyFont="1" applyFill="1" applyBorder="1" applyAlignment="1" applyProtection="1">
      <alignment horizontal="center" vertical="center" wrapText="1"/>
      <protection locked="0"/>
    </xf>
    <xf numFmtId="49" fontId="43"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2" fillId="4" borderId="30" xfId="0" applyFont="1" applyFill="1" applyBorder="1" applyAlignment="1">
      <alignment horizontal="left" vertical="center"/>
    </xf>
    <xf numFmtId="0" fontId="26" fillId="0" borderId="58" xfId="3" applyFont="1" applyBorder="1" applyAlignment="1">
      <alignment horizontal="center" vertical="center" wrapText="1"/>
    </xf>
    <xf numFmtId="0" fontId="26" fillId="0" borderId="55" xfId="3" applyFont="1" applyBorder="1" applyAlignment="1">
      <alignment horizontal="center" vertical="center" wrapText="1"/>
    </xf>
    <xf numFmtId="0" fontId="26" fillId="0" borderId="8" xfId="3" applyFont="1" applyBorder="1" applyAlignment="1">
      <alignment horizontal="center" vertical="center" wrapText="1"/>
    </xf>
    <xf numFmtId="0" fontId="23" fillId="0" borderId="59" xfId="3" quotePrefix="1" applyFont="1" applyBorder="1" applyAlignment="1">
      <alignment horizontal="left" vertical="center" wrapText="1"/>
    </xf>
    <xf numFmtId="0" fontId="23" fillId="0" borderId="0" xfId="3" quotePrefix="1" applyFont="1" applyAlignment="1">
      <alignment horizontal="left" vertical="center" wrapText="1"/>
    </xf>
    <xf numFmtId="0" fontId="23" fillId="0" borderId="60" xfId="3" quotePrefix="1" applyFont="1" applyBorder="1" applyAlignment="1">
      <alignment horizontal="left" vertical="center" wrapText="1"/>
    </xf>
    <xf numFmtId="0" fontId="27" fillId="4" borderId="59" xfId="3" quotePrefix="1" applyFont="1" applyFill="1" applyBorder="1" applyAlignment="1">
      <alignment horizontal="left" vertical="top" wrapText="1"/>
    </xf>
    <xf numFmtId="0" fontId="22" fillId="4" borderId="0" xfId="3" quotePrefix="1" applyFont="1" applyFill="1" applyAlignment="1">
      <alignment horizontal="left" vertical="top" wrapText="1"/>
    </xf>
    <xf numFmtId="0" fontId="22" fillId="4" borderId="60" xfId="3" quotePrefix="1" applyFont="1" applyFill="1" applyBorder="1" applyAlignment="1">
      <alignment horizontal="left" vertical="top" wrapText="1"/>
    </xf>
    <xf numFmtId="0" fontId="23" fillId="4" borderId="59" xfId="3" quotePrefix="1" applyFont="1" applyFill="1" applyBorder="1" applyAlignment="1">
      <alignment horizontal="left" vertical="top" wrapText="1"/>
    </xf>
    <xf numFmtId="0" fontId="23" fillId="4" borderId="0" xfId="3" quotePrefix="1" applyFont="1" applyFill="1" applyAlignment="1">
      <alignment horizontal="left" vertical="top" wrapText="1"/>
    </xf>
    <xf numFmtId="0" fontId="23" fillId="4" borderId="60" xfId="3" quotePrefix="1" applyFont="1" applyFill="1" applyBorder="1" applyAlignment="1">
      <alignment horizontal="left" vertical="top" wrapText="1"/>
    </xf>
    <xf numFmtId="0" fontId="30" fillId="16" borderId="61" xfId="4" applyFont="1" applyFill="1" applyBorder="1" applyAlignment="1">
      <alignment horizontal="center" vertical="center" wrapText="1"/>
    </xf>
    <xf numFmtId="0" fontId="30" fillId="16" borderId="62" xfId="4" applyFont="1" applyFill="1" applyBorder="1" applyAlignment="1">
      <alignment horizontal="center" vertical="center" wrapText="1"/>
    </xf>
    <xf numFmtId="0" fontId="30" fillId="16" borderId="63" xfId="3" applyFont="1" applyFill="1" applyBorder="1" applyAlignment="1">
      <alignment horizontal="center" vertical="center"/>
    </xf>
    <xf numFmtId="0" fontId="30" fillId="16" borderId="64" xfId="3" applyFont="1" applyFill="1" applyBorder="1" applyAlignment="1">
      <alignment horizontal="center" vertical="center"/>
    </xf>
    <xf numFmtId="0" fontId="30" fillId="4" borderId="75" xfId="4" applyFont="1" applyFill="1" applyBorder="1" applyAlignment="1">
      <alignment horizontal="left" vertical="center" wrapText="1" readingOrder="1"/>
    </xf>
    <xf numFmtId="0" fontId="30" fillId="4" borderId="76" xfId="4" applyFont="1" applyFill="1" applyBorder="1" applyAlignment="1">
      <alignment horizontal="left" vertical="center" wrapText="1" readingOrder="1"/>
    </xf>
    <xf numFmtId="0" fontId="31" fillId="0" borderId="65" xfId="3" applyFont="1" applyBorder="1" applyAlignment="1">
      <alignment horizontal="left" vertical="center" wrapText="1"/>
    </xf>
    <xf numFmtId="0" fontId="31" fillId="0" borderId="66" xfId="3" applyFont="1" applyBorder="1" applyAlignment="1">
      <alignment horizontal="left" vertical="center" wrapText="1"/>
    </xf>
    <xf numFmtId="0" fontId="30" fillId="4" borderId="67" xfId="0" applyFont="1" applyFill="1" applyBorder="1" applyAlignment="1">
      <alignment horizontal="left" vertical="center" wrapText="1"/>
    </xf>
    <xf numFmtId="0" fontId="30" fillId="4" borderId="68" xfId="0" applyFont="1" applyFill="1" applyBorder="1" applyAlignment="1">
      <alignment horizontal="left" vertical="center" wrapText="1"/>
    </xf>
    <xf numFmtId="0" fontId="31" fillId="0" borderId="69" xfId="3" applyFont="1" applyBorder="1" applyAlignment="1">
      <alignment horizontal="left" vertical="center" wrapText="1"/>
    </xf>
    <xf numFmtId="0" fontId="31" fillId="0" borderId="70" xfId="3" applyFont="1" applyBorder="1" applyAlignment="1">
      <alignment horizontal="left" vertical="center" wrapText="1"/>
    </xf>
    <xf numFmtId="0" fontId="31" fillId="0" borderId="69" xfId="3" applyFont="1" applyBorder="1" applyAlignment="1">
      <alignment horizontal="left" vertical="top" wrapText="1"/>
    </xf>
    <xf numFmtId="0" fontId="31" fillId="0" borderId="70" xfId="3" applyFont="1" applyBorder="1" applyAlignment="1">
      <alignment horizontal="left" vertical="top" wrapText="1"/>
    </xf>
    <xf numFmtId="0" fontId="23" fillId="4" borderId="59" xfId="3" applyFont="1" applyFill="1" applyBorder="1" applyAlignment="1">
      <alignment horizontal="left" vertical="top" wrapText="1"/>
    </xf>
    <xf numFmtId="0" fontId="23" fillId="4" borderId="0" xfId="3" applyFont="1" applyFill="1" applyAlignment="1">
      <alignment horizontal="left" vertical="top" wrapText="1"/>
    </xf>
    <xf numFmtId="0" fontId="23" fillId="4" borderId="60" xfId="3" applyFont="1" applyFill="1" applyBorder="1" applyAlignment="1">
      <alignment horizontal="left" vertical="top" wrapText="1"/>
    </xf>
    <xf numFmtId="0" fontId="23" fillId="4" borderId="0" xfId="3" applyFont="1" applyFill="1"/>
    <xf numFmtId="0" fontId="30" fillId="4" borderId="77" xfId="0" applyFont="1" applyFill="1" applyBorder="1" applyAlignment="1">
      <alignment horizontal="left" vertical="center" wrapText="1"/>
    </xf>
    <xf numFmtId="0" fontId="30" fillId="4" borderId="78" xfId="0" applyFont="1" applyFill="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2" fillId="7" borderId="50" xfId="2" applyFont="1" applyFill="1" applyBorder="1" applyAlignment="1">
      <alignment horizontal="center" vertical="center"/>
    </xf>
    <xf numFmtId="0" fontId="22" fillId="7" borderId="51" xfId="2" applyFont="1" applyFill="1" applyBorder="1" applyAlignment="1">
      <alignment horizontal="center" vertical="center"/>
    </xf>
    <xf numFmtId="0" fontId="23" fillId="0" borderId="56" xfId="2" applyFont="1" applyBorder="1" applyAlignment="1">
      <alignment horizontal="justify" vertical="center" wrapText="1"/>
    </xf>
    <xf numFmtId="0" fontId="23" fillId="0" borderId="57" xfId="2" applyFont="1" applyBorder="1" applyAlignment="1">
      <alignment horizontal="justify" vertical="center" wrapText="1"/>
    </xf>
    <xf numFmtId="0" fontId="22" fillId="8" borderId="52" xfId="2" applyFont="1" applyFill="1" applyBorder="1" applyAlignment="1">
      <alignment horizontal="center" vertical="center" wrapText="1"/>
    </xf>
    <xf numFmtId="0" fontId="22" fillId="8" borderId="53" xfId="2" applyFont="1" applyFill="1" applyBorder="1" applyAlignment="1">
      <alignment horizontal="center" vertical="center"/>
    </xf>
    <xf numFmtId="0" fontId="23" fillId="0" borderId="53" xfId="2" applyFont="1" applyBorder="1" applyAlignment="1">
      <alignment horizontal="justify" vertical="center" wrapText="1"/>
    </xf>
    <xf numFmtId="0" fontId="23" fillId="0" borderId="54" xfId="2" applyFont="1" applyBorder="1" applyAlignment="1">
      <alignment horizontal="justify" vertical="center" wrapText="1"/>
    </xf>
    <xf numFmtId="0" fontId="33" fillId="4" borderId="71" xfId="2" applyFont="1" applyFill="1" applyBorder="1" applyAlignment="1">
      <alignment horizontal="center" vertical="center" wrapText="1"/>
    </xf>
    <xf numFmtId="0" fontId="21"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2" fillId="14" borderId="47" xfId="2" applyFont="1" applyFill="1" applyBorder="1" applyAlignment="1">
      <alignment horizontal="center" vertical="center"/>
    </xf>
    <xf numFmtId="0" fontId="22" fillId="14" borderId="48" xfId="2" applyFont="1" applyFill="1" applyBorder="1" applyAlignment="1">
      <alignment horizontal="center" vertical="center"/>
    </xf>
    <xf numFmtId="0" fontId="23" fillId="0" borderId="48" xfId="2" applyFont="1" applyBorder="1" applyAlignment="1">
      <alignment horizontal="justify" vertical="center" wrapText="1"/>
    </xf>
    <xf numFmtId="0" fontId="23" fillId="0" borderId="49" xfId="2" applyFont="1" applyBorder="1" applyAlignment="1">
      <alignment horizontal="justify" vertical="center" wrapText="1"/>
    </xf>
    <xf numFmtId="9" fontId="34" fillId="0" borderId="87" xfId="0" applyNumberFormat="1" applyFont="1" applyBorder="1" applyAlignment="1" applyProtection="1">
      <alignment horizontal="center" vertical="center"/>
      <protection hidden="1"/>
    </xf>
    <xf numFmtId="9" fontId="34" fillId="0" borderId="88" xfId="0" applyNumberFormat="1" applyFont="1" applyBorder="1" applyAlignment="1" applyProtection="1">
      <alignment horizontal="center" vertical="center"/>
      <protection hidden="1"/>
    </xf>
    <xf numFmtId="9" fontId="24" fillId="7" borderId="84" xfId="1" applyFont="1" applyFill="1" applyBorder="1" applyAlignment="1" applyProtection="1">
      <alignment horizontal="center" vertical="center"/>
      <protection hidden="1"/>
    </xf>
    <xf numFmtId="9" fontId="24" fillId="7" borderId="85" xfId="1" applyFont="1" applyFill="1" applyBorder="1" applyAlignment="1" applyProtection="1">
      <alignment horizontal="center" vertical="center"/>
      <protection hidden="1"/>
    </xf>
    <xf numFmtId="9" fontId="24" fillId="7" borderId="86" xfId="1" applyFont="1" applyFill="1" applyBorder="1" applyAlignment="1" applyProtection="1">
      <alignment horizontal="center" vertical="center"/>
      <protection hidden="1"/>
    </xf>
    <xf numFmtId="9" fontId="34" fillId="4" borderId="87" xfId="0" applyNumberFormat="1" applyFont="1" applyFill="1" applyBorder="1" applyAlignment="1" applyProtection="1">
      <alignment horizontal="center" vertical="center"/>
      <protection hidden="1"/>
    </xf>
    <xf numFmtId="9" fontId="34" fillId="4" borderId="88" xfId="0" applyNumberFormat="1" applyFont="1" applyFill="1" applyBorder="1" applyAlignment="1" applyProtection="1">
      <alignment horizontal="center" vertical="center"/>
      <protection hidden="1"/>
    </xf>
    <xf numFmtId="9" fontId="34" fillId="4" borderId="89" xfId="0" applyNumberFormat="1" applyFont="1" applyFill="1" applyBorder="1" applyAlignment="1" applyProtection="1">
      <alignment horizontal="center" vertical="center"/>
      <protection hidden="1"/>
    </xf>
    <xf numFmtId="9" fontId="34" fillId="0" borderId="89" xfId="0" applyNumberFormat="1" applyFont="1" applyBorder="1" applyAlignment="1" applyProtection="1">
      <alignment horizontal="center" vertical="center"/>
      <protection hidden="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37" fillId="4" borderId="91" xfId="0" applyNumberFormat="1" applyFont="1" applyFill="1" applyBorder="1" applyAlignment="1">
      <alignment horizontal="left" vertical="center" wrapText="1"/>
    </xf>
    <xf numFmtId="49" fontId="37" fillId="4" borderId="3" xfId="0" applyNumberFormat="1" applyFont="1" applyFill="1" applyBorder="1" applyAlignment="1">
      <alignment horizontal="left" vertical="center" wrapText="1"/>
    </xf>
    <xf numFmtId="49" fontId="37" fillId="4" borderId="92" xfId="0" applyNumberFormat="1" applyFont="1" applyFill="1" applyBorder="1" applyAlignment="1">
      <alignment horizontal="left" vertical="center" wrapText="1"/>
    </xf>
    <xf numFmtId="49" fontId="37" fillId="4" borderId="4" xfId="0" applyNumberFormat="1" applyFont="1" applyFill="1" applyBorder="1" applyAlignment="1">
      <alignment horizontal="left" vertical="center" wrapText="1"/>
    </xf>
    <xf numFmtId="0" fontId="39" fillId="2" borderId="7"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44" fillId="4" borderId="3" xfId="0" applyFont="1" applyFill="1" applyBorder="1" applyAlignment="1" applyProtection="1">
      <alignment horizontal="center" vertical="center"/>
      <protection locked="0"/>
    </xf>
    <xf numFmtId="164" fontId="44" fillId="4" borderId="22" xfId="0" applyNumberFormat="1" applyFont="1" applyFill="1" applyBorder="1" applyAlignment="1" applyProtection="1">
      <alignment horizontal="center" vertical="center"/>
      <protection locked="0"/>
    </xf>
    <xf numFmtId="164" fontId="44" fillId="4" borderId="23" xfId="0" applyNumberFormat="1" applyFont="1" applyFill="1" applyBorder="1" applyAlignment="1" applyProtection="1">
      <alignment horizontal="center" vertical="center"/>
      <protection locked="0"/>
    </xf>
    <xf numFmtId="164" fontId="44" fillId="4" borderId="9" xfId="0" applyNumberFormat="1" applyFont="1" applyFill="1" applyBorder="1" applyAlignment="1" applyProtection="1">
      <alignment horizontal="center" vertical="center"/>
      <protection locked="0"/>
    </xf>
    <xf numFmtId="0" fontId="40" fillId="2" borderId="24"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37" fillId="4" borderId="90" xfId="0" applyNumberFormat="1" applyFont="1" applyFill="1" applyBorder="1" applyAlignment="1">
      <alignment horizontal="left" vertical="center" wrapText="1"/>
    </xf>
    <xf numFmtId="49" fontId="37" fillId="4" borderId="2" xfId="0" applyNumberFormat="1" applyFont="1" applyFill="1" applyBorder="1" applyAlignment="1">
      <alignment horizontal="left" vertical="center" wrapText="1"/>
    </xf>
    <xf numFmtId="49" fontId="45" fillId="4" borderId="2" xfId="0" applyNumberFormat="1" applyFont="1" applyFill="1" applyBorder="1" applyAlignment="1" applyProtection="1">
      <alignment horizontal="left" vertical="center" wrapText="1"/>
      <protection locked="0"/>
    </xf>
    <xf numFmtId="49" fontId="0" fillId="4" borderId="2" xfId="0" applyNumberFormat="1" applyFill="1" applyBorder="1" applyAlignment="1" applyProtection="1">
      <alignment horizontal="left" vertical="center" wrapText="1"/>
      <protection locked="0"/>
    </xf>
    <xf numFmtId="49" fontId="0" fillId="4" borderId="84" xfId="0" applyNumberFormat="1" applyFill="1" applyBorder="1" applyAlignment="1" applyProtection="1">
      <alignment horizontal="left" vertical="center" wrapText="1"/>
      <protection locked="0"/>
    </xf>
    <xf numFmtId="49" fontId="45" fillId="4" borderId="3" xfId="0" applyNumberFormat="1" applyFont="1" applyFill="1" applyBorder="1" applyAlignment="1" applyProtection="1">
      <alignment horizontal="left" vertical="center" wrapText="1"/>
      <protection locked="0"/>
    </xf>
    <xf numFmtId="49" fontId="0" fillId="4" borderId="3" xfId="0" applyNumberFormat="1" applyFill="1" applyBorder="1" applyAlignment="1" applyProtection="1">
      <alignment horizontal="left" vertical="center" wrapText="1"/>
      <protection locked="0"/>
    </xf>
    <xf numFmtId="49" fontId="0" fillId="4" borderId="85" xfId="0" applyNumberFormat="1" applyFill="1" applyBorder="1" applyAlignment="1" applyProtection="1">
      <alignment horizontal="left" vertical="center" wrapText="1"/>
      <protection locked="0"/>
    </xf>
    <xf numFmtId="49" fontId="45" fillId="4" borderId="4" xfId="0" applyNumberFormat="1" applyFont="1" applyFill="1" applyBorder="1" applyAlignment="1" applyProtection="1">
      <alignment horizontal="left" vertical="center" wrapText="1"/>
      <protection locked="0"/>
    </xf>
    <xf numFmtId="49" fontId="0" fillId="4" borderId="4" xfId="0" applyNumberFormat="1" applyFill="1" applyBorder="1" applyAlignment="1" applyProtection="1">
      <alignment horizontal="left" vertical="center" wrapText="1"/>
      <protection locked="0"/>
    </xf>
    <xf numFmtId="49" fontId="0" fillId="4" borderId="86" xfId="0" applyNumberFormat="1" applyFill="1" applyBorder="1" applyAlignment="1" applyProtection="1">
      <alignment horizontal="left" vertical="center" wrapText="1"/>
      <protection locked="0"/>
    </xf>
    <xf numFmtId="0" fontId="40" fillId="12" borderId="0" xfId="0" applyFont="1" applyFill="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0" fontId="49" fillId="0" borderId="24" xfId="0" applyFont="1" applyBorder="1" applyAlignment="1" applyProtection="1">
      <alignment horizontal="left" vertical="top" wrapText="1"/>
      <protection locked="0"/>
    </xf>
    <xf numFmtId="0" fontId="49" fillId="0" borderId="1" xfId="0" applyFont="1" applyBorder="1" applyAlignment="1" applyProtection="1">
      <alignment horizontal="left" vertical="top"/>
      <protection locked="0"/>
    </xf>
    <xf numFmtId="0" fontId="49" fillId="0" borderId="25" xfId="0" applyFont="1" applyBorder="1" applyAlignment="1" applyProtection="1">
      <alignment horizontal="left" vertical="top"/>
      <protection locked="0"/>
    </xf>
    <xf numFmtId="0" fontId="50" fillId="0" borderId="24" xfId="0" applyFont="1" applyBorder="1" applyAlignment="1" applyProtection="1">
      <alignment horizontal="left" vertical="top" wrapText="1"/>
      <protection locked="0"/>
    </xf>
    <xf numFmtId="0" fontId="50" fillId="0" borderId="1" xfId="0" applyFont="1" applyBorder="1" applyAlignment="1" applyProtection="1">
      <alignment horizontal="left" vertical="top"/>
      <protection locked="0"/>
    </xf>
    <xf numFmtId="0" fontId="50" fillId="0" borderId="25" xfId="0" applyFont="1" applyBorder="1" applyAlignment="1" applyProtection="1">
      <alignment horizontal="left" vertical="top"/>
      <protection locked="0"/>
    </xf>
    <xf numFmtId="0" fontId="38" fillId="0" borderId="24" xfId="0" applyFont="1" applyBorder="1" applyAlignment="1" applyProtection="1">
      <alignment horizontal="left" vertical="top" wrapText="1"/>
      <protection locked="0"/>
    </xf>
    <xf numFmtId="0" fontId="38" fillId="0" borderId="1" xfId="0" applyFont="1" applyBorder="1" applyAlignment="1" applyProtection="1">
      <alignment horizontal="left" vertical="top"/>
      <protection locked="0"/>
    </xf>
    <xf numFmtId="0" fontId="38" fillId="0" borderId="25" xfId="0" applyFont="1" applyBorder="1" applyAlignment="1" applyProtection="1">
      <alignment horizontal="left" vertical="top"/>
      <protection locked="0"/>
    </xf>
    <xf numFmtId="0" fontId="51" fillId="0" borderId="1" xfId="0" applyFont="1" applyBorder="1" applyAlignment="1" applyProtection="1">
      <alignment horizontal="left" vertical="top"/>
      <protection locked="0"/>
    </xf>
    <xf numFmtId="0" fontId="51" fillId="0" borderId="25" xfId="0" applyFont="1" applyBorder="1" applyAlignment="1" applyProtection="1">
      <alignment horizontal="left" vertical="top"/>
      <protection locked="0"/>
    </xf>
    <xf numFmtId="0" fontId="53" fillId="0" borderId="79" xfId="0" applyFont="1" applyBorder="1" applyAlignment="1" applyProtection="1">
      <alignment horizontal="left" vertical="center" wrapText="1"/>
      <protection locked="0"/>
    </xf>
    <xf numFmtId="0" fontId="53" fillId="0" borderId="2" xfId="0" applyFont="1" applyBorder="1" applyAlignment="1">
      <alignment horizontal="left" vertical="center" wrapText="1"/>
    </xf>
    <xf numFmtId="0" fontId="53" fillId="0" borderId="2" xfId="0" applyFont="1" applyBorder="1" applyAlignment="1" applyProtection="1">
      <alignment horizontal="center" vertical="center" wrapText="1"/>
      <protection locked="0"/>
    </xf>
    <xf numFmtId="0" fontId="53" fillId="0" borderId="79" xfId="0" applyFont="1" applyBorder="1" applyAlignment="1" applyProtection="1">
      <alignment horizontal="center" vertical="center" wrapText="1"/>
      <protection hidden="1"/>
    </xf>
    <xf numFmtId="0" fontId="54" fillId="0" borderId="3" xfId="0" applyFont="1" applyBorder="1" applyAlignment="1">
      <alignment horizontal="left" vertical="center" wrapText="1"/>
    </xf>
    <xf numFmtId="0" fontId="53" fillId="0" borderId="3" xfId="0" applyFont="1" applyBorder="1" applyAlignment="1" applyProtection="1">
      <alignment horizontal="center" vertical="center" wrapText="1"/>
      <protection locked="0"/>
    </xf>
    <xf numFmtId="0" fontId="54" fillId="0" borderId="9" xfId="0" applyFont="1" applyBorder="1" applyAlignment="1" applyProtection="1">
      <alignment horizontal="left" vertical="center" wrapText="1"/>
      <protection locked="0"/>
    </xf>
    <xf numFmtId="0" fontId="54" fillId="0" borderId="9" xfId="0" applyFont="1" applyBorder="1" applyAlignment="1" applyProtection="1">
      <alignment horizontal="center" vertical="center" wrapText="1"/>
      <protection hidden="1"/>
    </xf>
    <xf numFmtId="0" fontId="53" fillId="0" borderId="3" xfId="0" applyFont="1" applyBorder="1" applyAlignment="1">
      <alignment horizontal="left" vertical="center" wrapText="1"/>
    </xf>
    <xf numFmtId="0" fontId="53" fillId="0" borderId="9" xfId="0" applyFont="1" applyBorder="1" applyAlignment="1" applyProtection="1">
      <alignment horizontal="left" vertical="center" wrapText="1"/>
      <protection locked="0"/>
    </xf>
    <xf numFmtId="0" fontId="53" fillId="0" borderId="9" xfId="0" applyFont="1" applyBorder="1" applyAlignment="1" applyProtection="1">
      <alignment horizontal="center" vertical="center" wrapText="1"/>
      <protection hidden="1"/>
    </xf>
    <xf numFmtId="0" fontId="53" fillId="0" borderId="4" xfId="0" applyFont="1" applyBorder="1" applyAlignment="1">
      <alignment horizontal="left" vertical="center" wrapText="1"/>
    </xf>
    <xf numFmtId="0" fontId="53" fillId="0" borderId="4" xfId="0" applyFont="1" applyBorder="1" applyAlignment="1" applyProtection="1">
      <alignment horizontal="center" vertical="center" wrapText="1"/>
      <protection locked="0"/>
    </xf>
    <xf numFmtId="0" fontId="53" fillId="0" borderId="80" xfId="0" applyFont="1" applyBorder="1" applyAlignment="1" applyProtection="1">
      <alignment horizontal="left" vertical="center" wrapText="1"/>
      <protection locked="0"/>
    </xf>
    <xf numFmtId="0" fontId="53" fillId="0" borderId="80" xfId="0" applyFont="1" applyBorder="1" applyAlignment="1" applyProtection="1">
      <alignment horizontal="center" vertical="center" wrapText="1"/>
      <protection hidden="1"/>
    </xf>
    <xf numFmtId="49" fontId="53" fillId="0" borderId="0" xfId="0" applyNumberFormat="1" applyFont="1" applyAlignment="1">
      <alignment horizontal="center" vertical="top"/>
    </xf>
    <xf numFmtId="49" fontId="56" fillId="5" borderId="7" xfId="0" applyNumberFormat="1" applyFont="1" applyFill="1" applyBorder="1" applyAlignment="1">
      <alignment horizontal="center" vertical="center" wrapText="1"/>
    </xf>
    <xf numFmtId="0" fontId="56" fillId="5" borderId="7" xfId="0" applyFont="1" applyFill="1" applyBorder="1" applyAlignment="1">
      <alignment horizontal="center" vertical="center" wrapText="1"/>
    </xf>
    <xf numFmtId="0" fontId="56" fillId="5" borderId="10" xfId="0" applyFont="1" applyFill="1" applyBorder="1" applyAlignment="1">
      <alignment horizontal="center" vertical="center" wrapText="1"/>
    </xf>
    <xf numFmtId="0" fontId="56" fillId="5" borderId="5" xfId="0" applyFont="1" applyFill="1" applyBorder="1" applyAlignment="1">
      <alignment horizontal="center" vertical="center" wrapText="1"/>
    </xf>
    <xf numFmtId="0" fontId="57" fillId="0" borderId="0" xfId="0" applyFont="1" applyAlignment="1">
      <alignment vertical="top"/>
    </xf>
    <xf numFmtId="0" fontId="53" fillId="0" borderId="0" xfId="0" applyFont="1" applyAlignment="1">
      <alignment vertical="top"/>
    </xf>
    <xf numFmtId="0" fontId="58" fillId="4" borderId="0" xfId="0" applyFont="1" applyFill="1" applyAlignment="1">
      <alignment vertical="center"/>
    </xf>
    <xf numFmtId="0" fontId="59" fillId="5" borderId="10" xfId="0" applyFont="1" applyFill="1" applyBorder="1" applyAlignment="1">
      <alignment horizontal="center"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8" fillId="0" borderId="0" xfId="0" applyFont="1" applyAlignment="1">
      <alignment vertical="center"/>
    </xf>
    <xf numFmtId="49" fontId="57" fillId="10" borderId="11" xfId="0" applyNumberFormat="1" applyFont="1" applyFill="1" applyBorder="1" applyAlignment="1">
      <alignment horizontal="center" vertical="center" wrapText="1"/>
    </xf>
    <xf numFmtId="49" fontId="57" fillId="10" borderId="12" xfId="0" applyNumberFormat="1" applyFont="1" applyFill="1" applyBorder="1" applyAlignment="1">
      <alignment horizontal="center" vertical="center" wrapText="1"/>
    </xf>
    <xf numFmtId="49" fontId="57" fillId="10" borderId="13" xfId="0" applyNumberFormat="1" applyFont="1" applyFill="1" applyBorder="1" applyAlignment="1">
      <alignment horizontal="center" vertical="center" wrapText="1"/>
    </xf>
    <xf numFmtId="0" fontId="57" fillId="10" borderId="11" xfId="0" applyFont="1" applyFill="1" applyBorder="1" applyAlignment="1">
      <alignment horizontal="center" vertical="center" wrapText="1"/>
    </xf>
    <xf numFmtId="0" fontId="57" fillId="10" borderId="12" xfId="0" applyFont="1" applyFill="1" applyBorder="1" applyAlignment="1">
      <alignment horizontal="center" vertical="center" wrapText="1"/>
    </xf>
    <xf numFmtId="0" fontId="57" fillId="10" borderId="13" xfId="0" applyFont="1" applyFill="1" applyBorder="1" applyAlignment="1">
      <alignment horizontal="center" vertical="center" wrapText="1"/>
    </xf>
    <xf numFmtId="49" fontId="57" fillId="10" borderId="3" xfId="0" applyNumberFormat="1" applyFont="1" applyFill="1" applyBorder="1" applyAlignment="1">
      <alignment horizontal="center" vertical="center" wrapText="1"/>
    </xf>
    <xf numFmtId="0" fontId="54" fillId="4" borderId="0" xfId="0" applyFont="1" applyFill="1"/>
    <xf numFmtId="49" fontId="57" fillId="6" borderId="14" xfId="0" applyNumberFormat="1" applyFont="1" applyFill="1" applyBorder="1" applyAlignment="1">
      <alignment horizontal="center" vertical="center" wrapText="1"/>
    </xf>
    <xf numFmtId="49" fontId="57" fillId="6" borderId="15" xfId="0" applyNumberFormat="1" applyFont="1" applyFill="1" applyBorder="1" applyAlignment="1">
      <alignment horizontal="center" vertical="center" wrapText="1"/>
    </xf>
    <xf numFmtId="49" fontId="57" fillId="6" borderId="16" xfId="0" applyNumberFormat="1" applyFont="1" applyFill="1" applyBorder="1" applyAlignment="1">
      <alignment horizontal="center" vertical="center" wrapText="1"/>
    </xf>
    <xf numFmtId="49" fontId="57" fillId="10" borderId="14" xfId="0" applyNumberFormat="1" applyFont="1" applyFill="1" applyBorder="1" applyAlignment="1">
      <alignment horizontal="center" vertical="center" wrapText="1"/>
    </xf>
    <xf numFmtId="49" fontId="57" fillId="10" borderId="15" xfId="0" applyNumberFormat="1" applyFont="1" applyFill="1" applyBorder="1" applyAlignment="1">
      <alignment horizontal="center" vertical="center" wrapText="1"/>
    </xf>
    <xf numFmtId="49" fontId="57" fillId="10" borderId="16" xfId="0" applyNumberFormat="1" applyFont="1" applyFill="1" applyBorder="1" applyAlignment="1">
      <alignment horizontal="center" vertical="center" wrapText="1"/>
    </xf>
    <xf numFmtId="0" fontId="57" fillId="10" borderId="3" xfId="0" applyFont="1" applyFill="1" applyBorder="1" applyAlignment="1">
      <alignment horizontal="center" vertical="center" wrapText="1"/>
    </xf>
    <xf numFmtId="49" fontId="57" fillId="2" borderId="14" xfId="0" applyNumberFormat="1" applyFont="1" applyFill="1" applyBorder="1" applyAlignment="1">
      <alignment horizontal="center" vertical="center" wrapText="1"/>
    </xf>
    <xf numFmtId="49" fontId="57" fillId="2" borderId="11" xfId="0" applyNumberFormat="1" applyFont="1" applyFill="1" applyBorder="1" applyAlignment="1">
      <alignment horizontal="center" vertical="center" wrapText="1"/>
    </xf>
    <xf numFmtId="0" fontId="57" fillId="2" borderId="11" xfId="0" applyFont="1" applyFill="1" applyBorder="1" applyAlignment="1">
      <alignment horizontal="center" vertical="center" wrapText="1"/>
    </xf>
    <xf numFmtId="49" fontId="57" fillId="2" borderId="15" xfId="0" applyNumberFormat="1" applyFont="1" applyFill="1" applyBorder="1" applyAlignment="1">
      <alignment horizontal="center" vertical="center" wrapText="1"/>
    </xf>
    <xf numFmtId="49" fontId="57" fillId="2" borderId="12" xfId="0" applyNumberFormat="1" applyFont="1" applyFill="1" applyBorder="1" applyAlignment="1">
      <alignment horizontal="center" vertical="center" wrapText="1"/>
    </xf>
    <xf numFmtId="0" fontId="57" fillId="2" borderId="12" xfId="0" applyFont="1" applyFill="1" applyBorder="1" applyAlignment="1">
      <alignment horizontal="center" vertical="center" wrapText="1"/>
    </xf>
    <xf numFmtId="49" fontId="57" fillId="2" borderId="16" xfId="0" applyNumberFormat="1" applyFont="1" applyFill="1" applyBorder="1" applyAlignment="1">
      <alignment horizontal="center" vertical="center" wrapText="1"/>
    </xf>
    <xf numFmtId="49" fontId="57" fillId="2" borderId="13" xfId="0" applyNumberFormat="1" applyFont="1" applyFill="1" applyBorder="1" applyAlignment="1">
      <alignment horizontal="center" vertical="center" wrapText="1"/>
    </xf>
    <xf numFmtId="0" fontId="57" fillId="2" borderId="13" xfId="0" applyFont="1" applyFill="1" applyBorder="1" applyAlignment="1">
      <alignment horizontal="center" vertical="center" wrapText="1"/>
    </xf>
    <xf numFmtId="49" fontId="57" fillId="11" borderId="14" xfId="0" applyNumberFormat="1" applyFont="1" applyFill="1" applyBorder="1" applyAlignment="1">
      <alignment horizontal="center" vertical="center" wrapText="1"/>
    </xf>
    <xf numFmtId="49" fontId="57" fillId="11" borderId="11" xfId="0" applyNumberFormat="1" applyFont="1" applyFill="1" applyBorder="1" applyAlignment="1">
      <alignment horizontal="center" vertical="center" wrapText="1"/>
    </xf>
    <xf numFmtId="0" fontId="57" fillId="11" borderId="11" xfId="0" applyFont="1" applyFill="1" applyBorder="1" applyAlignment="1">
      <alignment horizontal="center" vertical="center" wrapText="1"/>
    </xf>
    <xf numFmtId="49" fontId="57" fillId="11" borderId="15" xfId="0" applyNumberFormat="1" applyFont="1" applyFill="1" applyBorder="1" applyAlignment="1">
      <alignment horizontal="center" vertical="center" wrapText="1"/>
    </xf>
    <xf numFmtId="49" fontId="57" fillId="11" borderId="12" xfId="0" applyNumberFormat="1" applyFont="1" applyFill="1" applyBorder="1" applyAlignment="1">
      <alignment horizontal="center" vertical="center" wrapText="1"/>
    </xf>
    <xf numFmtId="0" fontId="57" fillId="11" borderId="12" xfId="0" applyFont="1" applyFill="1" applyBorder="1" applyAlignment="1">
      <alignment horizontal="center" vertical="center" wrapText="1"/>
    </xf>
    <xf numFmtId="49" fontId="57" fillId="11" borderId="16" xfId="0" applyNumberFormat="1" applyFont="1" applyFill="1" applyBorder="1" applyAlignment="1">
      <alignment horizontal="center" vertical="center" wrapText="1"/>
    </xf>
    <xf numFmtId="49" fontId="57" fillId="11" borderId="13" xfId="0" applyNumberFormat="1" applyFont="1" applyFill="1" applyBorder="1" applyAlignment="1">
      <alignment horizontal="center" vertical="center" wrapText="1"/>
    </xf>
    <xf numFmtId="0" fontId="57" fillId="11" borderId="13" xfId="0" applyFont="1" applyFill="1" applyBorder="1" applyAlignment="1">
      <alignment horizontal="center" vertical="center" wrapText="1"/>
    </xf>
    <xf numFmtId="49" fontId="57" fillId="9" borderId="14" xfId="0" applyNumberFormat="1" applyFont="1" applyFill="1" applyBorder="1" applyAlignment="1">
      <alignment horizontal="center" vertical="center" wrapText="1"/>
    </xf>
    <xf numFmtId="49" fontId="57" fillId="9" borderId="11" xfId="0" applyNumberFormat="1" applyFont="1" applyFill="1" applyBorder="1" applyAlignment="1">
      <alignment horizontal="center" vertical="center" wrapText="1"/>
    </xf>
    <xf numFmtId="0" fontId="57" fillId="9" borderId="11" xfId="0" applyFont="1" applyFill="1" applyBorder="1" applyAlignment="1">
      <alignment horizontal="center" vertical="center" wrapText="1"/>
    </xf>
    <xf numFmtId="49" fontId="57" fillId="9" borderId="15" xfId="0" applyNumberFormat="1" applyFont="1" applyFill="1" applyBorder="1" applyAlignment="1">
      <alignment horizontal="center" vertical="center" wrapText="1"/>
    </xf>
    <xf numFmtId="49" fontId="57" fillId="9" borderId="12" xfId="0" applyNumberFormat="1" applyFont="1" applyFill="1" applyBorder="1" applyAlignment="1">
      <alignment horizontal="center" vertical="center" wrapText="1"/>
    </xf>
    <xf numFmtId="0" fontId="57" fillId="9" borderId="12" xfId="0" applyFont="1" applyFill="1" applyBorder="1" applyAlignment="1">
      <alignment horizontal="center" vertical="center" wrapText="1"/>
    </xf>
    <xf numFmtId="49" fontId="57" fillId="9" borderId="16" xfId="0" applyNumberFormat="1" applyFont="1" applyFill="1" applyBorder="1" applyAlignment="1">
      <alignment horizontal="center" vertical="center" wrapText="1"/>
    </xf>
    <xf numFmtId="49" fontId="57" fillId="9" borderId="13" xfId="0" applyNumberFormat="1" applyFont="1" applyFill="1" applyBorder="1" applyAlignment="1">
      <alignment horizontal="center" vertical="center" wrapText="1"/>
    </xf>
    <xf numFmtId="0" fontId="57" fillId="9" borderId="13" xfId="0" applyFont="1" applyFill="1" applyBorder="1" applyAlignment="1">
      <alignment horizontal="center" vertical="center" wrapText="1"/>
    </xf>
    <xf numFmtId="49" fontId="57" fillId="9" borderId="14" xfId="0" applyNumberFormat="1" applyFont="1" applyFill="1" applyBorder="1" applyAlignment="1">
      <alignment horizontal="center" vertical="center" wrapText="1"/>
    </xf>
    <xf numFmtId="49" fontId="57" fillId="9" borderId="11" xfId="0" applyNumberFormat="1" applyFont="1" applyFill="1" applyBorder="1" applyAlignment="1">
      <alignment horizontal="center" vertical="center" wrapText="1"/>
    </xf>
    <xf numFmtId="0" fontId="57" fillId="9" borderId="11" xfId="0" applyFont="1" applyFill="1" applyBorder="1" applyAlignment="1">
      <alignment horizontal="center" vertical="top" wrapText="1"/>
    </xf>
    <xf numFmtId="0" fontId="57" fillId="9" borderId="6" xfId="0" applyFont="1" applyFill="1" applyBorder="1" applyAlignment="1">
      <alignment horizontal="center" vertical="center" wrapText="1"/>
    </xf>
    <xf numFmtId="0" fontId="54" fillId="0" borderId="0" xfId="0" applyFont="1"/>
    <xf numFmtId="49" fontId="59" fillId="5" borderId="0" xfId="0" applyNumberFormat="1" applyFont="1" applyFill="1" applyAlignment="1">
      <alignment horizontal="center" vertical="center"/>
    </xf>
    <xf numFmtId="49" fontId="54" fillId="6" borderId="11" xfId="0" applyNumberFormat="1" applyFont="1" applyFill="1" applyBorder="1" applyAlignment="1">
      <alignment horizontal="center" vertical="center" wrapText="1"/>
    </xf>
    <xf numFmtId="0" fontId="54" fillId="6" borderId="11" xfId="0" applyFont="1" applyFill="1" applyBorder="1" applyAlignment="1">
      <alignment horizontal="center" vertical="center" wrapText="1"/>
    </xf>
    <xf numFmtId="49" fontId="54" fillId="6" borderId="12" xfId="0" applyNumberFormat="1" applyFont="1" applyFill="1" applyBorder="1" applyAlignment="1">
      <alignment horizontal="center" vertical="center" wrapText="1"/>
    </xf>
    <xf numFmtId="0" fontId="54" fillId="6" borderId="12" xfId="0" applyFont="1" applyFill="1" applyBorder="1" applyAlignment="1">
      <alignment horizontal="center" vertical="center" wrapText="1"/>
    </xf>
    <xf numFmtId="49" fontId="54" fillId="6" borderId="13" xfId="0" applyNumberFormat="1" applyFont="1" applyFill="1" applyBorder="1" applyAlignment="1">
      <alignment horizontal="center" vertical="center" wrapText="1"/>
    </xf>
    <xf numFmtId="0" fontId="54" fillId="6" borderId="13" xfId="0" applyFont="1" applyFill="1" applyBorder="1" applyAlignment="1">
      <alignment horizontal="center" vertical="center" wrapText="1"/>
    </xf>
    <xf numFmtId="0" fontId="51" fillId="4" borderId="0" xfId="0" applyFont="1" applyFill="1"/>
    <xf numFmtId="49" fontId="48" fillId="4" borderId="0" xfId="2" applyNumberFormat="1" applyFont="1" applyFill="1" applyAlignment="1" applyProtection="1">
      <alignment vertical="center"/>
      <protection locked="0"/>
    </xf>
    <xf numFmtId="0" fontId="48" fillId="4" borderId="0" xfId="2" applyFont="1" applyFill="1" applyAlignment="1" applyProtection="1">
      <alignment vertical="center"/>
      <protection locked="0"/>
    </xf>
    <xf numFmtId="0" fontId="47" fillId="4" borderId="0" xfId="2" applyFont="1" applyFill="1" applyAlignment="1" applyProtection="1">
      <alignment vertical="center"/>
      <protection locked="0"/>
    </xf>
    <xf numFmtId="0" fontId="46" fillId="2" borderId="44" xfId="2" applyFont="1" applyFill="1" applyBorder="1" applyAlignment="1">
      <alignment horizontal="center" vertical="center" wrapText="1"/>
    </xf>
    <xf numFmtId="0" fontId="46" fillId="2" borderId="45" xfId="2" applyFont="1" applyFill="1" applyBorder="1" applyAlignment="1">
      <alignment horizontal="center" vertical="center" wrapText="1"/>
    </xf>
    <xf numFmtId="0" fontId="46" fillId="2" borderId="46" xfId="2" applyFont="1" applyFill="1" applyBorder="1" applyAlignment="1">
      <alignment horizontal="center" vertical="center" wrapText="1"/>
    </xf>
    <xf numFmtId="0" fontId="60" fillId="14" borderId="47" xfId="2" applyFont="1" applyFill="1" applyBorder="1" applyAlignment="1">
      <alignment horizontal="center" vertical="center"/>
    </xf>
    <xf numFmtId="0" fontId="60" fillId="14" borderId="48" xfId="2" applyFont="1" applyFill="1" applyBorder="1" applyAlignment="1">
      <alignment horizontal="center" vertical="center"/>
    </xf>
    <xf numFmtId="0" fontId="36" fillId="0" borderId="48" xfId="2" applyFont="1" applyBorder="1" applyAlignment="1">
      <alignment horizontal="justify" vertical="center" wrapText="1"/>
    </xf>
    <xf numFmtId="0" fontId="36" fillId="0" borderId="49" xfId="2" applyFont="1" applyBorder="1" applyAlignment="1">
      <alignment horizontal="justify" vertical="center" wrapText="1"/>
    </xf>
    <xf numFmtId="9" fontId="36" fillId="4" borderId="0" xfId="2" applyNumberFormat="1" applyFont="1" applyFill="1" applyAlignment="1" applyProtection="1">
      <alignment vertical="center"/>
      <protection locked="0"/>
    </xf>
    <xf numFmtId="9" fontId="47" fillId="4" borderId="0" xfId="1" applyFont="1" applyFill="1" applyAlignment="1" applyProtection="1">
      <alignment vertical="center"/>
      <protection locked="0"/>
    </xf>
    <xf numFmtId="0" fontId="60" fillId="7" borderId="50" xfId="2" applyFont="1" applyFill="1" applyBorder="1" applyAlignment="1">
      <alignment horizontal="center" vertical="center"/>
    </xf>
    <xf numFmtId="0" fontId="60" fillId="7" borderId="51" xfId="2" applyFont="1" applyFill="1" applyBorder="1" applyAlignment="1">
      <alignment horizontal="center" vertical="center"/>
    </xf>
    <xf numFmtId="0" fontId="36" fillId="0" borderId="56" xfId="2" applyFont="1" applyBorder="1" applyAlignment="1">
      <alignment horizontal="justify" vertical="center" wrapText="1"/>
    </xf>
    <xf numFmtId="0" fontId="36" fillId="0" borderId="57" xfId="2" applyFont="1" applyBorder="1" applyAlignment="1">
      <alignment horizontal="justify" vertical="center" wrapText="1"/>
    </xf>
    <xf numFmtId="9" fontId="47" fillId="4" borderId="0" xfId="2" applyNumberFormat="1" applyFont="1" applyFill="1" applyAlignment="1" applyProtection="1">
      <alignment vertical="center"/>
      <protection locked="0"/>
    </xf>
    <xf numFmtId="0" fontId="60" fillId="8" borderId="52" xfId="2" applyFont="1" applyFill="1" applyBorder="1" applyAlignment="1">
      <alignment horizontal="center" vertical="center" wrapText="1"/>
    </xf>
    <xf numFmtId="0" fontId="60" fillId="8" borderId="53" xfId="2" applyFont="1" applyFill="1" applyBorder="1" applyAlignment="1">
      <alignment horizontal="center" vertical="center"/>
    </xf>
    <xf numFmtId="0" fontId="36" fillId="0" borderId="53" xfId="2" applyFont="1" applyBorder="1" applyAlignment="1">
      <alignment horizontal="justify" vertical="center" wrapText="1"/>
    </xf>
    <xf numFmtId="0" fontId="36" fillId="0" borderId="54" xfId="2" applyFont="1" applyBorder="1" applyAlignment="1">
      <alignment horizontal="justify" vertical="center" wrapText="1"/>
    </xf>
    <xf numFmtId="0" fontId="36" fillId="4" borderId="0" xfId="2" applyFont="1" applyFill="1" applyAlignment="1" applyProtection="1">
      <alignment vertical="center"/>
      <protection locked="0"/>
    </xf>
    <xf numFmtId="0" fontId="46" fillId="3" borderId="32" xfId="2" applyFont="1" applyFill="1" applyBorder="1" applyAlignment="1">
      <alignment horizontal="center" vertical="center" wrapText="1"/>
    </xf>
    <xf numFmtId="0" fontId="46" fillId="3" borderId="33" xfId="2" applyFont="1" applyFill="1" applyBorder="1" applyAlignment="1">
      <alignment horizontal="center" vertical="center" wrapText="1"/>
    </xf>
    <xf numFmtId="0" fontId="51" fillId="0" borderId="0" xfId="0" applyFont="1"/>
    <xf numFmtId="0" fontId="51" fillId="4" borderId="0" xfId="0" applyFont="1" applyFill="1" applyAlignment="1">
      <alignment wrapText="1"/>
    </xf>
    <xf numFmtId="0" fontId="48" fillId="4" borderId="0" xfId="2" applyFont="1" applyFill="1" applyAlignment="1" applyProtection="1">
      <alignment vertical="center" wrapText="1"/>
      <protection locked="0"/>
    </xf>
    <xf numFmtId="0" fontId="51" fillId="0" borderId="0" xfId="0" applyFont="1" applyAlignment="1">
      <alignment wrapText="1"/>
    </xf>
    <xf numFmtId="0" fontId="61" fillId="2" borderId="37" xfId="2" applyFont="1" applyFill="1" applyBorder="1" applyAlignment="1">
      <alignment horizontal="center" vertical="center" wrapText="1"/>
    </xf>
    <xf numFmtId="0" fontId="61" fillId="2" borderId="38" xfId="2" applyFont="1" applyFill="1" applyBorder="1" applyAlignment="1">
      <alignment horizontal="center" vertical="center" wrapText="1"/>
    </xf>
    <xf numFmtId="0" fontId="61" fillId="2" borderId="39" xfId="2" applyFont="1" applyFill="1" applyBorder="1" applyAlignment="1">
      <alignment horizontal="center" vertical="center" wrapText="1"/>
    </xf>
    <xf numFmtId="0" fontId="61" fillId="2" borderId="40" xfId="2" applyFont="1" applyFill="1" applyBorder="1" applyAlignment="1">
      <alignment horizontal="center" vertical="center" wrapText="1"/>
    </xf>
    <xf numFmtId="0" fontId="61" fillId="2" borderId="41" xfId="2" applyFont="1" applyFill="1" applyBorder="1" applyAlignment="1">
      <alignment horizontal="center" vertical="center" wrapText="1"/>
    </xf>
    <xf numFmtId="0" fontId="8" fillId="0" borderId="0" xfId="2" applyFont="1" applyAlignment="1" applyProtection="1">
      <alignment vertical="center"/>
      <protection locked="0"/>
    </xf>
    <xf numFmtId="0" fontId="61" fillId="3" borderId="32" xfId="2" applyFont="1" applyFill="1" applyBorder="1" applyAlignment="1">
      <alignment horizontal="center" vertical="center" wrapText="1"/>
    </xf>
    <xf numFmtId="0" fontId="61" fillId="2" borderId="83" xfId="2" applyFont="1" applyFill="1" applyBorder="1" applyAlignment="1">
      <alignment horizontal="center" vertical="center" wrapText="1"/>
    </xf>
    <xf numFmtId="0" fontId="61" fillId="2" borderId="82" xfId="2" applyFont="1" applyFill="1" applyBorder="1" applyAlignment="1">
      <alignment horizontal="center" vertical="center"/>
    </xf>
    <xf numFmtId="0" fontId="61" fillId="2" borderId="82" xfId="2" applyFont="1" applyFill="1" applyBorder="1" applyAlignment="1">
      <alignment horizontal="center" vertical="center" wrapText="1"/>
    </xf>
    <xf numFmtId="0" fontId="61" fillId="2" borderId="42" xfId="2" applyFont="1" applyFill="1" applyBorder="1" applyAlignment="1">
      <alignment horizontal="center" vertical="center" wrapText="1"/>
    </xf>
    <xf numFmtId="0" fontId="61" fillId="2" borderId="43" xfId="2" applyFont="1" applyFill="1" applyBorder="1" applyAlignment="1">
      <alignment horizontal="center" vertical="center" wrapText="1"/>
    </xf>
    <xf numFmtId="0" fontId="61" fillId="3" borderId="33" xfId="2" applyFont="1" applyFill="1" applyBorder="1" applyAlignment="1">
      <alignment horizontal="center" vertical="center" wrapText="1"/>
    </xf>
    <xf numFmtId="0" fontId="3" fillId="0" borderId="22" xfId="0" applyFont="1" applyBorder="1" applyAlignment="1" applyProtection="1">
      <alignment horizontal="center" vertical="center"/>
      <protection hidden="1"/>
    </xf>
    <xf numFmtId="0" fontId="55" fillId="6" borderId="14" xfId="0" applyFont="1" applyFill="1" applyBorder="1" applyAlignment="1">
      <alignment horizontal="center" vertical="center" textRotation="90" wrapText="1"/>
    </xf>
    <xf numFmtId="0" fontId="3" fillId="0" borderId="2" xfId="0" applyFont="1" applyBorder="1" applyAlignment="1" applyProtection="1">
      <alignment horizontal="center" vertical="center" wrapText="1"/>
      <protection hidden="1"/>
    </xf>
    <xf numFmtId="0" fontId="62" fillId="0" borderId="84" xfId="0" applyFont="1" applyBorder="1" applyAlignment="1" applyProtection="1">
      <alignment vertical="center" wrapText="1"/>
      <protection hidden="1"/>
    </xf>
    <xf numFmtId="0" fontId="3" fillId="0" borderId="0" xfId="0" applyFont="1"/>
    <xf numFmtId="9" fontId="3" fillId="0" borderId="90" xfId="0" applyNumberFormat="1" applyFont="1" applyBorder="1" applyAlignment="1" applyProtection="1">
      <alignment horizontal="center" vertical="center"/>
      <protection hidden="1"/>
    </xf>
    <xf numFmtId="0" fontId="55" fillId="6" borderId="15" xfId="0" applyFont="1" applyFill="1" applyBorder="1" applyAlignment="1">
      <alignment horizontal="center" vertical="center" textRotation="90" wrapText="1"/>
    </xf>
    <xf numFmtId="0" fontId="3" fillId="0" borderId="3" xfId="0" applyFont="1" applyBorder="1" applyAlignment="1" applyProtection="1">
      <alignment horizontal="center" vertical="center" wrapText="1"/>
      <protection hidden="1"/>
    </xf>
    <xf numFmtId="0" fontId="62" fillId="0" borderId="85" xfId="0" applyFont="1" applyBorder="1" applyAlignment="1" applyProtection="1">
      <alignment vertical="center" wrapText="1"/>
      <protection hidden="1"/>
    </xf>
    <xf numFmtId="9" fontId="3" fillId="0" borderId="91" xfId="0" applyNumberFormat="1" applyFont="1" applyBorder="1" applyAlignment="1" applyProtection="1">
      <alignment horizontal="center" vertical="center"/>
      <protection hidden="1"/>
    </xf>
    <xf numFmtId="0" fontId="55" fillId="6" borderId="16" xfId="0" applyFont="1" applyFill="1" applyBorder="1" applyAlignment="1">
      <alignment horizontal="center" vertical="center" textRotation="90" wrapText="1"/>
    </xf>
    <xf numFmtId="0" fontId="3" fillId="0" borderId="4" xfId="0" applyFont="1" applyBorder="1" applyAlignment="1" applyProtection="1">
      <alignment horizontal="center" vertical="center" wrapText="1"/>
      <protection hidden="1"/>
    </xf>
    <xf numFmtId="0" fontId="62" fillId="0" borderId="86" xfId="0" applyFont="1" applyBorder="1" applyAlignment="1" applyProtection="1">
      <alignment vertical="center" wrapText="1"/>
      <protection hidden="1"/>
    </xf>
    <xf numFmtId="9" fontId="3" fillId="0" borderId="92" xfId="0" applyNumberFormat="1" applyFont="1" applyBorder="1" applyAlignment="1" applyProtection="1">
      <alignment horizontal="center" vertical="center"/>
      <protection hidden="1"/>
    </xf>
    <xf numFmtId="0" fontId="4" fillId="10" borderId="14" xfId="0" applyFont="1" applyFill="1" applyBorder="1" applyAlignment="1">
      <alignment horizontal="center" vertical="center" textRotation="90"/>
    </xf>
    <xf numFmtId="0" fontId="4" fillId="10" borderId="15" xfId="0" applyFont="1" applyFill="1" applyBorder="1" applyAlignment="1">
      <alignment horizontal="center" vertical="center" textRotation="90"/>
    </xf>
    <xf numFmtId="0" fontId="3" fillId="0" borderId="7" xfId="0" applyFont="1" applyBorder="1" applyAlignment="1" applyProtection="1">
      <alignment horizontal="center" vertical="center" wrapText="1"/>
      <protection hidden="1"/>
    </xf>
    <xf numFmtId="0" fontId="62" fillId="0" borderId="5" xfId="0" applyFont="1" applyBorder="1" applyAlignment="1" applyProtection="1">
      <alignment vertical="center" wrapText="1"/>
      <protection hidden="1"/>
    </xf>
    <xf numFmtId="9" fontId="3" fillId="0" borderId="93" xfId="0" applyNumberFormat="1" applyFont="1" applyBorder="1" applyAlignment="1" applyProtection="1">
      <alignment horizontal="center" vertical="center"/>
      <protection hidden="1"/>
    </xf>
    <xf numFmtId="0" fontId="4" fillId="2" borderId="14" xfId="0" applyFont="1" applyFill="1" applyBorder="1" applyAlignment="1">
      <alignment horizontal="center" vertical="center" textRotation="90"/>
    </xf>
    <xf numFmtId="0" fontId="4" fillId="2" borderId="15" xfId="0" applyFont="1" applyFill="1" applyBorder="1" applyAlignment="1">
      <alignment horizontal="center" vertical="center" textRotation="90"/>
    </xf>
    <xf numFmtId="0" fontId="4" fillId="2" borderId="16" xfId="0" applyFont="1" applyFill="1" applyBorder="1" applyAlignment="1">
      <alignment horizontal="center" vertical="center" textRotation="90"/>
    </xf>
    <xf numFmtId="0" fontId="4" fillId="11" borderId="15" xfId="0" applyFont="1" applyFill="1" applyBorder="1" applyAlignment="1">
      <alignment horizontal="center" vertical="center" textRotation="90"/>
    </xf>
    <xf numFmtId="0" fontId="3" fillId="0" borderId="6" xfId="0" applyFont="1" applyBorder="1" applyAlignment="1" applyProtection="1">
      <alignment horizontal="center" vertical="center" wrapText="1"/>
      <protection hidden="1"/>
    </xf>
    <xf numFmtId="0" fontId="62" fillId="0" borderId="6" xfId="0" applyFont="1" applyBorder="1" applyAlignment="1" applyProtection="1">
      <alignment vertical="center" wrapText="1"/>
      <protection hidden="1"/>
    </xf>
    <xf numFmtId="9" fontId="3" fillId="0" borderId="6" xfId="0" applyNumberFormat="1" applyFont="1" applyBorder="1" applyAlignment="1" applyProtection="1">
      <alignment horizontal="center" vertical="center"/>
      <protection hidden="1"/>
    </xf>
    <xf numFmtId="0" fontId="62" fillId="0" borderId="3" xfId="0" applyFont="1" applyBorder="1" applyAlignment="1" applyProtection="1">
      <alignment vertical="center" wrapText="1"/>
      <protection hidden="1"/>
    </xf>
    <xf numFmtId="9" fontId="3" fillId="0" borderId="3" xfId="0" applyNumberFormat="1" applyFont="1" applyBorder="1" applyAlignment="1" applyProtection="1">
      <alignment horizontal="center" vertical="center"/>
      <protection hidden="1"/>
    </xf>
    <xf numFmtId="0" fontId="62" fillId="0" borderId="7" xfId="0" applyFont="1" applyBorder="1" applyAlignment="1" applyProtection="1">
      <alignment vertical="center" wrapText="1"/>
      <protection hidden="1"/>
    </xf>
    <xf numFmtId="9" fontId="3" fillId="0" borderId="7" xfId="0" applyNumberFormat="1" applyFont="1" applyBorder="1" applyAlignment="1" applyProtection="1">
      <alignment horizontal="center" vertical="center"/>
      <protection hidden="1"/>
    </xf>
    <xf numFmtId="0" fontId="4" fillId="9" borderId="14" xfId="0" applyFont="1" applyFill="1" applyBorder="1" applyAlignment="1">
      <alignment horizontal="center" vertical="center" textRotation="90"/>
    </xf>
    <xf numFmtId="0" fontId="4" fillId="9" borderId="15" xfId="0" applyFont="1" applyFill="1" applyBorder="1" applyAlignment="1">
      <alignment horizontal="center" vertical="center" textRotation="90"/>
    </xf>
    <xf numFmtId="0" fontId="3" fillId="4" borderId="0" xfId="0" applyFont="1" applyFill="1"/>
    <xf numFmtId="0" fontId="4" fillId="9" borderId="16" xfId="0" applyFont="1" applyFill="1" applyBorder="1" applyAlignment="1">
      <alignment horizontal="center" vertical="center" textRotation="9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5</xdr:col>
      <xdr:colOff>4730000</xdr:colOff>
      <xdr:row>5</xdr:row>
      <xdr:rowOff>150597</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Resultados"/>
      <sheetName val="Instructivo"/>
      <sheetName val="Definiciones"/>
      <sheetName val="Ambiente de Control"/>
      <sheetName val="Evaluación de riesgos"/>
      <sheetName val="Actividades de control"/>
      <sheetName val="Info y Comunicación"/>
      <sheetName val="Actividades de Monitoreo"/>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13" zoomScale="90" zoomScaleNormal="90" workbookViewId="0">
      <selection activeCell="B3" sqref="B3:H4"/>
    </sheetView>
  </sheetViews>
  <sheetFormatPr baseColWidth="10" defaultColWidth="0" defaultRowHeight="12.75" zeroHeight="1" x14ac:dyDescent="0.2"/>
  <cols>
    <col min="1" max="1" width="3.85546875" style="36" customWidth="1"/>
    <col min="2" max="2" width="15.28515625" style="36" customWidth="1"/>
    <col min="3" max="3" width="17.28515625" style="36" customWidth="1"/>
    <col min="4" max="4" width="28.5703125" style="36" customWidth="1"/>
    <col min="5" max="5" width="12.85546875" style="36" customWidth="1"/>
    <col min="6" max="6" width="47.140625" style="36" customWidth="1"/>
    <col min="7" max="7" width="21.42578125" style="36" customWidth="1"/>
    <col min="8" max="8" width="6.5703125" style="36" customWidth="1"/>
    <col min="9" max="9" width="2.5703125" style="36" customWidth="1"/>
    <col min="10" max="16384" width="11.42578125" style="36" hidden="1"/>
  </cols>
  <sheetData>
    <row r="1" spans="2:8" ht="13.5" thickBot="1" x14ac:dyDescent="0.25"/>
    <row r="2" spans="2:8" ht="73.5" customHeight="1" x14ac:dyDescent="0.2">
      <c r="B2" s="99" t="s">
        <v>0</v>
      </c>
      <c r="C2" s="100"/>
      <c r="D2" s="100"/>
      <c r="E2" s="100"/>
      <c r="F2" s="100"/>
      <c r="G2" s="100"/>
      <c r="H2" s="101"/>
    </row>
    <row r="3" spans="2:8" ht="65.25" customHeight="1" x14ac:dyDescent="0.2">
      <c r="B3" s="102" t="s">
        <v>1</v>
      </c>
      <c r="C3" s="103"/>
      <c r="D3" s="103"/>
      <c r="E3" s="103"/>
      <c r="F3" s="103"/>
      <c r="G3" s="103"/>
      <c r="H3" s="104"/>
    </row>
    <row r="4" spans="2:8" ht="82.5" customHeight="1" x14ac:dyDescent="0.2">
      <c r="B4" s="102"/>
      <c r="C4" s="103"/>
      <c r="D4" s="103"/>
      <c r="E4" s="103"/>
      <c r="F4" s="103"/>
      <c r="G4" s="103"/>
      <c r="H4" s="104"/>
    </row>
    <row r="5" spans="2:8" ht="21.75" customHeight="1" x14ac:dyDescent="0.2">
      <c r="B5" s="105" t="s">
        <v>2</v>
      </c>
      <c r="C5" s="106"/>
      <c r="D5" s="106"/>
      <c r="E5" s="106"/>
      <c r="F5" s="106"/>
      <c r="G5" s="106"/>
      <c r="H5" s="107"/>
    </row>
    <row r="6" spans="2:8" ht="42" customHeight="1" x14ac:dyDescent="0.2">
      <c r="B6" s="108" t="s">
        <v>3</v>
      </c>
      <c r="C6" s="109"/>
      <c r="D6" s="109"/>
      <c r="E6" s="109"/>
      <c r="F6" s="109"/>
      <c r="G6" s="109"/>
      <c r="H6" s="110"/>
    </row>
    <row r="7" spans="2:8" ht="14.25" customHeight="1" x14ac:dyDescent="0.2">
      <c r="B7" s="108"/>
      <c r="C7" s="109"/>
      <c r="D7" s="109"/>
      <c r="E7" s="109"/>
      <c r="F7" s="109"/>
      <c r="G7" s="109"/>
      <c r="H7" s="110"/>
    </row>
    <row r="8" spans="2:8" ht="12.75" customHeight="1" thickBot="1" x14ac:dyDescent="0.25">
      <c r="B8" s="47"/>
      <c r="C8" s="41"/>
      <c r="D8" s="56"/>
      <c r="E8" s="57"/>
      <c r="F8" s="57"/>
      <c r="G8" s="55"/>
      <c r="H8" s="49"/>
    </row>
    <row r="9" spans="2:8" ht="21" customHeight="1" thickTop="1" x14ac:dyDescent="0.2">
      <c r="B9" s="47"/>
      <c r="C9" s="111" t="s">
        <v>4</v>
      </c>
      <c r="D9" s="112"/>
      <c r="E9" s="113" t="s">
        <v>5</v>
      </c>
      <c r="F9" s="114"/>
      <c r="G9" s="41"/>
      <c r="H9" s="49"/>
    </row>
    <row r="10" spans="2:8" ht="37.5" customHeight="1" x14ac:dyDescent="0.2">
      <c r="B10" s="47"/>
      <c r="C10" s="115" t="s">
        <v>6</v>
      </c>
      <c r="D10" s="116"/>
      <c r="E10" s="117" t="s">
        <v>7</v>
      </c>
      <c r="F10" s="118"/>
      <c r="G10" s="41"/>
      <c r="H10" s="49"/>
    </row>
    <row r="11" spans="2:8" ht="39.75" customHeight="1" x14ac:dyDescent="0.2">
      <c r="B11" s="47"/>
      <c r="C11" s="119" t="s">
        <v>8</v>
      </c>
      <c r="D11" s="120"/>
      <c r="E11" s="121" t="s">
        <v>9</v>
      </c>
      <c r="F11" s="122"/>
      <c r="G11" s="41"/>
      <c r="H11" s="49"/>
    </row>
    <row r="12" spans="2:8" ht="59.25" customHeight="1" x14ac:dyDescent="0.2">
      <c r="B12" s="47"/>
      <c r="C12" s="119" t="s">
        <v>10</v>
      </c>
      <c r="D12" s="120"/>
      <c r="E12" s="123" t="s">
        <v>11</v>
      </c>
      <c r="F12" s="124"/>
      <c r="G12" s="41"/>
      <c r="H12" s="49"/>
    </row>
    <row r="13" spans="2:8" ht="33.75" customHeight="1" x14ac:dyDescent="0.2">
      <c r="B13" s="47"/>
      <c r="C13" s="129" t="s">
        <v>12</v>
      </c>
      <c r="D13" s="130"/>
      <c r="E13" s="121" t="s">
        <v>13</v>
      </c>
      <c r="F13" s="122"/>
      <c r="G13" s="41"/>
      <c r="H13" s="49"/>
    </row>
    <row r="14" spans="2:8" ht="19.5" customHeight="1" x14ac:dyDescent="0.2">
      <c r="B14" s="47"/>
      <c r="C14" s="53"/>
      <c r="D14" s="53"/>
      <c r="E14" s="54"/>
      <c r="F14" s="54"/>
      <c r="G14" s="41"/>
      <c r="H14" s="49"/>
    </row>
    <row r="15" spans="2:8" ht="37.5" customHeight="1" thickBot="1" x14ac:dyDescent="0.25">
      <c r="B15" s="125" t="s">
        <v>14</v>
      </c>
      <c r="C15" s="126"/>
      <c r="D15" s="126"/>
      <c r="E15" s="126"/>
      <c r="F15" s="126"/>
      <c r="G15" s="126"/>
      <c r="H15" s="127"/>
    </row>
    <row r="16" spans="2:8" ht="27.75" customHeight="1" thickBot="1" x14ac:dyDescent="0.25">
      <c r="B16" s="47"/>
      <c r="C16" s="131" t="s">
        <v>15</v>
      </c>
      <c r="D16" s="132"/>
      <c r="E16" s="132" t="s">
        <v>16</v>
      </c>
      <c r="F16" s="143"/>
      <c r="G16" s="41"/>
      <c r="H16" s="49"/>
    </row>
    <row r="17" spans="2:8" ht="27.75" customHeight="1" x14ac:dyDescent="0.2">
      <c r="B17" s="47"/>
      <c r="C17" s="144" t="s">
        <v>17</v>
      </c>
      <c r="D17" s="145"/>
      <c r="E17" s="146" t="s">
        <v>18</v>
      </c>
      <c r="F17" s="147"/>
      <c r="G17" s="74"/>
      <c r="H17" s="49"/>
    </row>
    <row r="18" spans="2:8" ht="41.25" customHeight="1" x14ac:dyDescent="0.2">
      <c r="B18" s="47"/>
      <c r="C18" s="133" t="s">
        <v>19</v>
      </c>
      <c r="D18" s="134"/>
      <c r="E18" s="135" t="s">
        <v>20</v>
      </c>
      <c r="F18" s="136"/>
      <c r="G18" s="75"/>
      <c r="H18" s="49"/>
    </row>
    <row r="19" spans="2:8" ht="37.5" customHeight="1" thickBot="1" x14ac:dyDescent="0.25">
      <c r="B19" s="47"/>
      <c r="C19" s="137" t="s">
        <v>21</v>
      </c>
      <c r="D19" s="138"/>
      <c r="E19" s="139" t="s">
        <v>22</v>
      </c>
      <c r="F19" s="140"/>
      <c r="G19" s="75"/>
      <c r="H19" s="49"/>
    </row>
    <row r="20" spans="2:8" ht="11.25" customHeight="1" x14ac:dyDescent="0.2">
      <c r="B20" s="42"/>
      <c r="C20" s="43"/>
      <c r="D20" s="43"/>
      <c r="E20" s="43"/>
      <c r="F20" s="43"/>
      <c r="G20" s="43"/>
      <c r="H20" s="44"/>
    </row>
    <row r="21" spans="2:8" ht="14.25" customHeight="1" x14ac:dyDescent="0.2">
      <c r="B21" s="45"/>
      <c r="C21" s="141"/>
      <c r="D21" s="141"/>
      <c r="E21" s="142"/>
      <c r="F21" s="142"/>
      <c r="G21" s="142"/>
      <c r="H21" s="46"/>
    </row>
    <row r="22" spans="2:8" ht="36" customHeight="1" x14ac:dyDescent="0.2">
      <c r="B22" s="125" t="s">
        <v>23</v>
      </c>
      <c r="C22" s="126"/>
      <c r="D22" s="126"/>
      <c r="E22" s="126"/>
      <c r="F22" s="126"/>
      <c r="G22" s="126"/>
      <c r="H22" s="127"/>
    </row>
    <row r="23" spans="2:8" ht="13.5" x14ac:dyDescent="0.2">
      <c r="B23" s="47"/>
      <c r="C23" s="48"/>
      <c r="D23" s="48"/>
      <c r="E23" s="128"/>
      <c r="F23" s="128"/>
      <c r="G23" s="41"/>
      <c r="H23" s="49"/>
    </row>
    <row r="24" spans="2:8" ht="13.5" thickBot="1" x14ac:dyDescent="0.25">
      <c r="B24" s="50"/>
      <c r="C24" s="51"/>
      <c r="D24" s="51"/>
      <c r="E24" s="51"/>
      <c r="F24" s="51"/>
      <c r="G24" s="51"/>
      <c r="H24" s="5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9"/>
  <sheetViews>
    <sheetView showGridLines="0" topLeftCell="B1" zoomScale="37" zoomScaleNormal="37" workbookViewId="0">
      <selection activeCell="H16" sqref="H16"/>
    </sheetView>
  </sheetViews>
  <sheetFormatPr baseColWidth="10" defaultColWidth="11.42578125" defaultRowHeight="34.5" x14ac:dyDescent="0.45"/>
  <cols>
    <col min="1" max="1" width="3" style="38" hidden="1" customWidth="1"/>
    <col min="2" max="2" width="9.42578125" style="275" customWidth="1"/>
    <col min="3" max="3" width="39" style="275" customWidth="1"/>
    <col min="4" max="4" width="61.85546875" style="275" customWidth="1"/>
    <col min="5" max="5" width="15.5703125" style="228" customWidth="1"/>
    <col min="6" max="6" width="74.140625" style="59" customWidth="1"/>
    <col min="7" max="7" width="30.140625" style="38" customWidth="1"/>
    <col min="8" max="8" width="117.28515625" style="38" customWidth="1"/>
    <col min="9" max="9" width="37.85546875" style="38" customWidth="1"/>
    <col min="10" max="12" width="11.42578125" style="62" customWidth="1"/>
    <col min="13" max="24" width="11.42578125" style="38" customWidth="1"/>
    <col min="25" max="16384" width="11.42578125" style="38"/>
  </cols>
  <sheetData>
    <row r="1" spans="1:32" ht="32.25" customHeight="1" x14ac:dyDescent="0.45">
      <c r="B1" s="236"/>
      <c r="C1" s="236"/>
      <c r="D1" s="236"/>
      <c r="E1" s="223"/>
      <c r="F1" s="58"/>
      <c r="G1" s="37"/>
      <c r="H1" s="37"/>
      <c r="I1" s="37"/>
      <c r="J1" s="60"/>
      <c r="K1" s="60"/>
      <c r="L1" s="60"/>
      <c r="M1" s="37"/>
      <c r="N1" s="37"/>
      <c r="O1" s="37"/>
      <c r="P1" s="37"/>
      <c r="Q1" s="37"/>
      <c r="R1" s="37"/>
      <c r="S1" s="37"/>
      <c r="T1" s="37"/>
      <c r="U1" s="37"/>
      <c r="V1" s="37"/>
      <c r="W1" s="37"/>
      <c r="X1" s="37"/>
    </row>
    <row r="2" spans="1:32" x14ac:dyDescent="0.45">
      <c r="B2" s="236"/>
      <c r="C2" s="236"/>
      <c r="D2" s="236"/>
      <c r="E2" s="223"/>
      <c r="F2" s="58"/>
      <c r="G2" s="37"/>
      <c r="H2" s="37"/>
      <c r="I2" s="37"/>
      <c r="J2" s="60"/>
      <c r="K2" s="60"/>
      <c r="L2" s="60"/>
      <c r="M2" s="37"/>
      <c r="N2" s="37"/>
      <c r="O2" s="37"/>
      <c r="P2" s="37"/>
      <c r="Q2" s="37"/>
      <c r="R2" s="37"/>
      <c r="S2" s="37"/>
      <c r="T2" s="37"/>
      <c r="U2" s="37"/>
      <c r="V2" s="37"/>
      <c r="W2" s="37"/>
      <c r="X2" s="37"/>
    </row>
    <row r="3" spans="1:32" x14ac:dyDescent="0.45">
      <c r="B3" s="236"/>
      <c r="C3" s="236"/>
      <c r="D3" s="236"/>
      <c r="E3" s="223"/>
      <c r="F3" s="58"/>
      <c r="G3" s="37"/>
      <c r="H3" s="37"/>
      <c r="I3" s="37"/>
      <c r="J3" s="60"/>
      <c r="K3" s="60"/>
      <c r="L3" s="60"/>
      <c r="M3" s="37"/>
      <c r="N3" s="37"/>
      <c r="O3" s="37"/>
      <c r="P3" s="37"/>
      <c r="Q3" s="37"/>
      <c r="R3" s="37"/>
      <c r="S3" s="37"/>
      <c r="T3" s="37"/>
      <c r="U3" s="37"/>
      <c r="V3" s="37"/>
      <c r="W3" s="37"/>
      <c r="X3" s="37"/>
    </row>
    <row r="4" spans="1:32" x14ac:dyDescent="0.45">
      <c r="B4" s="236"/>
      <c r="C4" s="236"/>
      <c r="D4" s="236"/>
      <c r="E4" s="223"/>
      <c r="F4" s="58"/>
      <c r="G4" s="37"/>
      <c r="H4" s="37"/>
      <c r="I4" s="37"/>
      <c r="J4" s="60"/>
      <c r="K4" s="60"/>
      <c r="L4" s="60"/>
      <c r="M4" s="37"/>
      <c r="N4" s="37"/>
      <c r="O4" s="37"/>
      <c r="P4" s="37"/>
      <c r="Q4" s="37"/>
      <c r="R4" s="37"/>
      <c r="S4" s="37"/>
      <c r="T4" s="37"/>
      <c r="U4" s="37"/>
      <c r="V4" s="37"/>
      <c r="W4" s="37"/>
      <c r="X4" s="37"/>
    </row>
    <row r="5" spans="1:32" x14ac:dyDescent="0.45">
      <c r="B5" s="236"/>
      <c r="C5" s="236"/>
      <c r="D5" s="236"/>
      <c r="E5" s="223"/>
      <c r="F5" s="58"/>
      <c r="G5" s="37"/>
      <c r="H5" s="37"/>
      <c r="I5" s="37"/>
      <c r="J5" s="60"/>
      <c r="K5" s="60"/>
      <c r="L5" s="60"/>
      <c r="M5" s="37"/>
      <c r="N5" s="37"/>
      <c r="O5" s="37"/>
      <c r="P5" s="37"/>
      <c r="Q5" s="37"/>
      <c r="R5" s="37"/>
      <c r="S5" s="37"/>
      <c r="T5" s="37"/>
      <c r="U5" s="37"/>
      <c r="V5" s="37"/>
      <c r="W5" s="37"/>
      <c r="X5" s="37"/>
    </row>
    <row r="6" spans="1:32" x14ac:dyDescent="0.45">
      <c r="B6" s="236"/>
      <c r="C6" s="236"/>
      <c r="D6" s="236"/>
      <c r="E6" s="223"/>
      <c r="F6" s="58"/>
      <c r="G6" s="37"/>
      <c r="H6" s="37"/>
      <c r="I6" s="37"/>
      <c r="J6" s="60"/>
      <c r="K6" s="60"/>
      <c r="L6" s="60"/>
      <c r="M6" s="37"/>
      <c r="N6" s="37"/>
      <c r="O6" s="37"/>
      <c r="P6" s="37"/>
      <c r="Q6" s="37"/>
      <c r="R6" s="37"/>
      <c r="S6" s="37"/>
      <c r="T6" s="37"/>
      <c r="U6" s="37"/>
      <c r="V6" s="37"/>
      <c r="W6" s="37"/>
      <c r="X6" s="37"/>
    </row>
    <row r="7" spans="1:32" x14ac:dyDescent="0.45">
      <c r="B7" s="236"/>
      <c r="C7" s="236"/>
      <c r="D7" s="236"/>
      <c r="E7" s="223"/>
      <c r="F7" s="58"/>
      <c r="G7" s="37"/>
      <c r="H7" s="37"/>
      <c r="I7" s="37"/>
      <c r="J7" s="60"/>
      <c r="K7" s="60"/>
      <c r="L7" s="60"/>
      <c r="M7" s="37"/>
      <c r="N7" s="37"/>
      <c r="O7" s="37"/>
      <c r="P7" s="37"/>
      <c r="Q7" s="37"/>
      <c r="R7" s="37"/>
      <c r="S7" s="37"/>
      <c r="T7" s="37"/>
      <c r="U7" s="37"/>
      <c r="V7" s="37"/>
      <c r="W7" s="37"/>
      <c r="X7" s="37"/>
    </row>
    <row r="8" spans="1:32" x14ac:dyDescent="0.45">
      <c r="B8" s="236"/>
      <c r="C8" s="236"/>
      <c r="D8" s="236"/>
      <c r="E8" s="223"/>
      <c r="F8" s="58"/>
      <c r="G8" s="37"/>
      <c r="H8" s="37"/>
      <c r="I8" s="37"/>
      <c r="J8" s="60"/>
      <c r="K8" s="60"/>
      <c r="L8" s="60"/>
      <c r="M8" s="37"/>
      <c r="N8" s="37"/>
      <c r="O8" s="37"/>
      <c r="P8" s="37"/>
      <c r="Q8" s="37"/>
      <c r="R8" s="37"/>
      <c r="S8" s="37"/>
      <c r="T8" s="37"/>
      <c r="U8" s="37"/>
      <c r="V8" s="37"/>
      <c r="W8" s="37"/>
      <c r="X8" s="37"/>
    </row>
    <row r="9" spans="1:32" x14ac:dyDescent="0.45">
      <c r="B9" s="236"/>
      <c r="C9" s="236"/>
      <c r="D9" s="236"/>
      <c r="E9" s="223"/>
      <c r="F9" s="58"/>
      <c r="G9" s="37"/>
      <c r="H9" s="37"/>
      <c r="I9" s="37"/>
      <c r="J9" s="60"/>
      <c r="K9" s="60"/>
      <c r="L9" s="60"/>
      <c r="M9" s="37"/>
      <c r="N9" s="37"/>
      <c r="O9" s="37"/>
      <c r="P9" s="37"/>
      <c r="Q9" s="37"/>
      <c r="R9" s="37"/>
      <c r="S9" s="37"/>
      <c r="T9" s="37"/>
      <c r="U9" s="37"/>
      <c r="V9" s="37"/>
      <c r="W9" s="37"/>
      <c r="X9" s="37"/>
    </row>
    <row r="10" spans="1:32" x14ac:dyDescent="0.45">
      <c r="B10" s="236"/>
      <c r="C10" s="236"/>
      <c r="D10" s="236"/>
      <c r="E10" s="223"/>
      <c r="F10" s="58"/>
      <c r="G10" s="37"/>
      <c r="H10" s="37"/>
      <c r="I10" s="37"/>
      <c r="J10" s="60"/>
      <c r="K10" s="60"/>
      <c r="L10" s="60"/>
      <c r="M10" s="37"/>
      <c r="N10" s="37"/>
      <c r="O10" s="37"/>
      <c r="P10" s="37"/>
      <c r="Q10" s="37"/>
      <c r="R10" s="37"/>
      <c r="S10" s="37"/>
      <c r="T10" s="37"/>
      <c r="U10" s="37"/>
      <c r="V10" s="37"/>
      <c r="W10" s="37"/>
      <c r="X10" s="37"/>
    </row>
    <row r="11" spans="1:32" x14ac:dyDescent="0.45">
      <c r="B11" s="236"/>
      <c r="C11" s="236"/>
      <c r="D11" s="236"/>
      <c r="E11" s="223"/>
      <c r="F11" s="58"/>
      <c r="G11" s="37"/>
      <c r="H11" s="37"/>
      <c r="I11" s="37"/>
      <c r="J11" s="60"/>
      <c r="K11" s="60"/>
      <c r="L11" s="60"/>
      <c r="M11" s="37"/>
      <c r="N11" s="37"/>
      <c r="O11" s="37"/>
      <c r="P11" s="37"/>
      <c r="Q11" s="37"/>
      <c r="R11" s="37"/>
      <c r="S11" s="37"/>
      <c r="T11" s="37"/>
      <c r="U11" s="37"/>
      <c r="V11" s="37"/>
      <c r="W11" s="37"/>
      <c r="X11" s="37"/>
    </row>
    <row r="12" spans="1:32" x14ac:dyDescent="0.45">
      <c r="B12" s="236"/>
      <c r="C12" s="236"/>
      <c r="D12" s="236"/>
      <c r="E12" s="223"/>
      <c r="F12" s="58"/>
      <c r="G12" s="37"/>
      <c r="H12" s="37"/>
      <c r="I12" s="37"/>
      <c r="J12" s="60"/>
      <c r="K12" s="60"/>
      <c r="L12" s="60"/>
      <c r="M12" s="37"/>
      <c r="N12" s="37"/>
      <c r="O12" s="37"/>
      <c r="P12" s="37"/>
      <c r="Q12" s="37"/>
      <c r="R12" s="37"/>
      <c r="S12" s="37"/>
      <c r="T12" s="37"/>
      <c r="U12" s="37"/>
      <c r="V12" s="37"/>
      <c r="W12" s="37"/>
      <c r="X12" s="37"/>
    </row>
    <row r="13" spans="1:32" x14ac:dyDescent="0.45">
      <c r="B13" s="236"/>
      <c r="C13" s="236"/>
      <c r="D13" s="236"/>
      <c r="E13" s="223"/>
      <c r="F13" s="58"/>
      <c r="G13" s="37"/>
      <c r="H13" s="37"/>
      <c r="I13" s="37"/>
      <c r="J13" s="60"/>
      <c r="K13" s="60"/>
      <c r="L13" s="60"/>
      <c r="M13" s="37"/>
      <c r="N13" s="37"/>
      <c r="O13" s="37"/>
      <c r="P13" s="37"/>
      <c r="Q13" s="37"/>
      <c r="R13" s="37"/>
      <c r="S13" s="37"/>
      <c r="T13" s="37"/>
      <c r="U13" s="37"/>
      <c r="V13" s="37"/>
      <c r="W13" s="37"/>
      <c r="X13" s="37"/>
    </row>
    <row r="14" spans="1:32" s="40" customFormat="1" ht="75.75" customHeight="1" x14ac:dyDescent="0.25">
      <c r="B14" s="276" t="s">
        <v>24</v>
      </c>
      <c r="C14" s="276"/>
      <c r="D14" s="276"/>
      <c r="E14" s="276"/>
      <c r="F14" s="276"/>
      <c r="G14" s="276"/>
      <c r="H14" s="276"/>
      <c r="I14" s="276"/>
      <c r="J14" s="61"/>
      <c r="K14" s="61"/>
      <c r="L14" s="61"/>
      <c r="M14" s="39"/>
      <c r="N14" s="39"/>
      <c r="O14" s="39"/>
      <c r="P14" s="39"/>
      <c r="Q14" s="39"/>
      <c r="R14" s="39"/>
      <c r="S14" s="39"/>
      <c r="T14" s="39"/>
      <c r="U14" s="39"/>
      <c r="V14" s="39"/>
      <c r="W14" s="39"/>
      <c r="X14" s="39"/>
      <c r="Y14" s="39"/>
      <c r="Z14" s="39"/>
      <c r="AA14" s="39"/>
      <c r="AB14" s="39"/>
      <c r="AC14" s="39"/>
      <c r="AD14" s="39"/>
      <c r="AE14" s="39"/>
      <c r="AF14" s="39"/>
    </row>
    <row r="15" spans="1:32" s="216" customFormat="1" ht="212.25" customHeight="1" thickBot="1" x14ac:dyDescent="0.3">
      <c r="B15" s="217" t="s">
        <v>25</v>
      </c>
      <c r="C15" s="217" t="s">
        <v>6</v>
      </c>
      <c r="D15" s="218" t="s">
        <v>8</v>
      </c>
      <c r="E15" s="224" t="s">
        <v>26</v>
      </c>
      <c r="F15" s="219" t="s">
        <v>27</v>
      </c>
      <c r="G15" s="219" t="s">
        <v>28</v>
      </c>
      <c r="H15" s="220" t="s">
        <v>29</v>
      </c>
      <c r="I15" s="219" t="s">
        <v>30</v>
      </c>
      <c r="J15" s="221"/>
      <c r="K15" s="221"/>
      <c r="L15" s="221"/>
      <c r="M15" s="222"/>
      <c r="N15" s="222"/>
      <c r="O15" s="222"/>
      <c r="P15" s="222"/>
      <c r="Q15" s="222"/>
      <c r="R15" s="222"/>
      <c r="S15" s="222"/>
      <c r="T15" s="222"/>
      <c r="U15" s="222"/>
      <c r="V15" s="222"/>
      <c r="W15" s="222"/>
      <c r="X15" s="222"/>
      <c r="Y15" s="222"/>
      <c r="Z15" s="222"/>
      <c r="AA15" s="222"/>
      <c r="AB15" s="222"/>
      <c r="AC15" s="222"/>
      <c r="AD15" s="222"/>
      <c r="AE15" s="222"/>
      <c r="AF15" s="222"/>
    </row>
    <row r="16" spans="1:32" s="40" customFormat="1" ht="333.75" customHeight="1" x14ac:dyDescent="0.25">
      <c r="A16" s="76" t="str">
        <f>1&amp;E16</f>
        <v>1a</v>
      </c>
      <c r="B16" s="237" t="s">
        <v>31</v>
      </c>
      <c r="C16" s="277" t="s">
        <v>32</v>
      </c>
      <c r="D16" s="278" t="s">
        <v>33</v>
      </c>
      <c r="E16" s="225" t="s">
        <v>34</v>
      </c>
      <c r="F16" s="202" t="s">
        <v>35</v>
      </c>
      <c r="G16" s="203" t="s">
        <v>39</v>
      </c>
      <c r="H16" s="201" t="s">
        <v>195</v>
      </c>
      <c r="I16" s="204" t="str">
        <f>+IF(G16="Si","Mantenimiento del control",IF(G16="En proceso","Oportunidad de mejora","Deficiencia de control"))</f>
        <v>Mantenimiento del control</v>
      </c>
      <c r="J16" s="77">
        <f t="shared" ref="J16:J27" si="0">+IF(G16="Si",20,IF(G16="En proceso",10,0))</f>
        <v>20</v>
      </c>
      <c r="K16" s="77">
        <v>0.123</v>
      </c>
      <c r="L16" s="77">
        <f>+J16+K16</f>
        <v>20.123000000000001</v>
      </c>
    </row>
    <row r="17" spans="1:32" s="40" customFormat="1" ht="222.75" customHeight="1" x14ac:dyDescent="0.25">
      <c r="A17" s="76" t="str">
        <f t="shared" ref="A17:A27" si="1">1&amp;E17</f>
        <v>1b</v>
      </c>
      <c r="B17" s="238"/>
      <c r="C17" s="279"/>
      <c r="D17" s="280"/>
      <c r="E17" s="226" t="s">
        <v>37</v>
      </c>
      <c r="F17" s="205" t="s">
        <v>38</v>
      </c>
      <c r="G17" s="206" t="s">
        <v>39</v>
      </c>
      <c r="H17" s="207" t="s">
        <v>244</v>
      </c>
      <c r="I17" s="208" t="str">
        <f t="shared" ref="I17:I59" si="2">+IF(G17="Si","Mantenimiento del control",IF(G17="En proceso","Oportunidad de mejora","Deficiencia de control"))</f>
        <v>Mantenimiento del control</v>
      </c>
      <c r="J17" s="78">
        <f t="shared" si="0"/>
        <v>20</v>
      </c>
      <c r="K17" s="77">
        <v>0.1234</v>
      </c>
      <c r="L17" s="77">
        <f t="shared" ref="L17:L59" si="3">+J17+K17</f>
        <v>20.1234</v>
      </c>
    </row>
    <row r="18" spans="1:32" s="40" customFormat="1" ht="244.5" customHeight="1" x14ac:dyDescent="0.25">
      <c r="A18" s="76" t="str">
        <f t="shared" si="1"/>
        <v>1c</v>
      </c>
      <c r="B18" s="238"/>
      <c r="C18" s="279"/>
      <c r="D18" s="280"/>
      <c r="E18" s="226" t="s">
        <v>40</v>
      </c>
      <c r="F18" s="209" t="s">
        <v>41</v>
      </c>
      <c r="G18" s="206" t="s">
        <v>39</v>
      </c>
      <c r="H18" s="210" t="s">
        <v>202</v>
      </c>
      <c r="I18" s="211" t="str">
        <f t="shared" si="2"/>
        <v>Mantenimiento del control</v>
      </c>
      <c r="J18" s="78">
        <f t="shared" si="0"/>
        <v>20</v>
      </c>
      <c r="K18" s="77">
        <v>0.12345</v>
      </c>
      <c r="L18" s="77">
        <f t="shared" si="3"/>
        <v>20.123449999999998</v>
      </c>
    </row>
    <row r="19" spans="1:32" s="40" customFormat="1" ht="213" customHeight="1" x14ac:dyDescent="0.25">
      <c r="A19" s="76" t="str">
        <f t="shared" si="1"/>
        <v>1d</v>
      </c>
      <c r="B19" s="238"/>
      <c r="C19" s="279"/>
      <c r="D19" s="280"/>
      <c r="E19" s="226" t="s">
        <v>42</v>
      </c>
      <c r="F19" s="209" t="s">
        <v>43</v>
      </c>
      <c r="G19" s="206" t="s">
        <v>39</v>
      </c>
      <c r="H19" s="210" t="s">
        <v>194</v>
      </c>
      <c r="I19" s="211" t="str">
        <f t="shared" si="2"/>
        <v>Mantenimiento del control</v>
      </c>
      <c r="J19" s="78">
        <f t="shared" si="0"/>
        <v>20</v>
      </c>
      <c r="K19" s="77">
        <v>0.123456</v>
      </c>
      <c r="L19" s="77">
        <f t="shared" si="3"/>
        <v>20.123456000000001</v>
      </c>
    </row>
    <row r="20" spans="1:32" s="40" customFormat="1" ht="103.5" customHeight="1" x14ac:dyDescent="0.25">
      <c r="A20" s="76" t="str">
        <f t="shared" si="1"/>
        <v>1e</v>
      </c>
      <c r="B20" s="238"/>
      <c r="C20" s="279"/>
      <c r="D20" s="280"/>
      <c r="E20" s="226" t="s">
        <v>44</v>
      </c>
      <c r="F20" s="209" t="s">
        <v>45</v>
      </c>
      <c r="G20" s="206" t="s">
        <v>76</v>
      </c>
      <c r="H20" s="210" t="s">
        <v>203</v>
      </c>
      <c r="I20" s="211" t="str">
        <f t="shared" si="2"/>
        <v>Oportunidad de mejora</v>
      </c>
      <c r="J20" s="78">
        <f t="shared" si="0"/>
        <v>10</v>
      </c>
      <c r="K20" s="77">
        <v>0.12345678</v>
      </c>
      <c r="L20" s="77">
        <f t="shared" si="3"/>
        <v>10.12345678</v>
      </c>
    </row>
    <row r="21" spans="1:32" s="40" customFormat="1" ht="222" customHeight="1" x14ac:dyDescent="0.25">
      <c r="A21" s="76" t="str">
        <f t="shared" si="1"/>
        <v>1f</v>
      </c>
      <c r="B21" s="238"/>
      <c r="C21" s="279"/>
      <c r="D21" s="280"/>
      <c r="E21" s="226" t="s">
        <v>46</v>
      </c>
      <c r="F21" s="209" t="s">
        <v>47</v>
      </c>
      <c r="G21" s="206" t="s">
        <v>76</v>
      </c>
      <c r="H21" s="210" t="s">
        <v>204</v>
      </c>
      <c r="I21" s="211" t="str">
        <f t="shared" si="2"/>
        <v>Oportunidad de mejora</v>
      </c>
      <c r="J21" s="78">
        <f t="shared" si="0"/>
        <v>10</v>
      </c>
      <c r="K21" s="77">
        <v>0.123456789</v>
      </c>
      <c r="L21" s="77">
        <f t="shared" si="3"/>
        <v>10.123456789</v>
      </c>
    </row>
    <row r="22" spans="1:32" s="40" customFormat="1" ht="198" x14ac:dyDescent="0.25">
      <c r="A22" s="76" t="str">
        <f t="shared" si="1"/>
        <v>1g</v>
      </c>
      <c r="B22" s="238"/>
      <c r="C22" s="279"/>
      <c r="D22" s="280"/>
      <c r="E22" s="226" t="s">
        <v>48</v>
      </c>
      <c r="F22" s="209" t="s">
        <v>49</v>
      </c>
      <c r="G22" s="206" t="s">
        <v>39</v>
      </c>
      <c r="H22" s="210" t="s">
        <v>205</v>
      </c>
      <c r="I22" s="211" t="str">
        <f t="shared" si="2"/>
        <v>Mantenimiento del control</v>
      </c>
      <c r="J22" s="78">
        <f t="shared" si="0"/>
        <v>20</v>
      </c>
      <c r="K22" s="77">
        <v>0.12345678910000001</v>
      </c>
      <c r="L22" s="77">
        <f t="shared" si="3"/>
        <v>20.1234567891</v>
      </c>
    </row>
    <row r="23" spans="1:32" s="40" customFormat="1" ht="187.5" customHeight="1" x14ac:dyDescent="0.25">
      <c r="A23" s="76" t="str">
        <f t="shared" si="1"/>
        <v>1h</v>
      </c>
      <c r="B23" s="238"/>
      <c r="C23" s="279"/>
      <c r="D23" s="280"/>
      <c r="E23" s="226" t="s">
        <v>50</v>
      </c>
      <c r="F23" s="209" t="s">
        <v>51</v>
      </c>
      <c r="G23" s="206" t="s">
        <v>39</v>
      </c>
      <c r="H23" s="210" t="s">
        <v>206</v>
      </c>
      <c r="I23" s="211" t="str">
        <f t="shared" si="2"/>
        <v>Mantenimiento del control</v>
      </c>
      <c r="J23" s="78">
        <f t="shared" si="0"/>
        <v>20</v>
      </c>
      <c r="K23" s="77">
        <v>0.12345678911999999</v>
      </c>
      <c r="L23" s="77">
        <f t="shared" si="3"/>
        <v>20.123456789119999</v>
      </c>
    </row>
    <row r="24" spans="1:32" s="40" customFormat="1" ht="133.5" customHeight="1" x14ac:dyDescent="0.25">
      <c r="A24" s="76" t="str">
        <f t="shared" si="1"/>
        <v>1i</v>
      </c>
      <c r="B24" s="238"/>
      <c r="C24" s="279"/>
      <c r="D24" s="280"/>
      <c r="E24" s="226" t="s">
        <v>52</v>
      </c>
      <c r="F24" s="209" t="s">
        <v>53</v>
      </c>
      <c r="G24" s="206" t="s">
        <v>39</v>
      </c>
      <c r="H24" s="210" t="s">
        <v>196</v>
      </c>
      <c r="I24" s="211" t="str">
        <f t="shared" si="2"/>
        <v>Mantenimiento del control</v>
      </c>
      <c r="J24" s="78">
        <f t="shared" si="0"/>
        <v>20</v>
      </c>
      <c r="K24" s="77">
        <v>0.123456789123</v>
      </c>
      <c r="L24" s="77">
        <f t="shared" si="3"/>
        <v>20.123456789123001</v>
      </c>
    </row>
    <row r="25" spans="1:32" s="40" customFormat="1" ht="147.75" customHeight="1" x14ac:dyDescent="0.25">
      <c r="A25" s="76" t="str">
        <f t="shared" si="1"/>
        <v>1j</v>
      </c>
      <c r="B25" s="238"/>
      <c r="C25" s="279"/>
      <c r="D25" s="280"/>
      <c r="E25" s="226" t="s">
        <v>54</v>
      </c>
      <c r="F25" s="209" t="s">
        <v>55</v>
      </c>
      <c r="G25" s="206" t="s">
        <v>76</v>
      </c>
      <c r="H25" s="210" t="s">
        <v>197</v>
      </c>
      <c r="I25" s="211" t="str">
        <f t="shared" si="2"/>
        <v>Oportunidad de mejora</v>
      </c>
      <c r="J25" s="78">
        <f t="shared" si="0"/>
        <v>10</v>
      </c>
      <c r="K25" s="77">
        <v>0.1234567891234</v>
      </c>
      <c r="L25" s="77">
        <f t="shared" si="3"/>
        <v>10.1234567891234</v>
      </c>
    </row>
    <row r="26" spans="1:32" s="40" customFormat="1" ht="214.5" customHeight="1" x14ac:dyDescent="0.25">
      <c r="A26" s="76" t="str">
        <f t="shared" si="1"/>
        <v>1k</v>
      </c>
      <c r="B26" s="238"/>
      <c r="C26" s="279"/>
      <c r="D26" s="280"/>
      <c r="E26" s="226" t="s">
        <v>56</v>
      </c>
      <c r="F26" s="209" t="s">
        <v>57</v>
      </c>
      <c r="G26" s="206" t="s">
        <v>39</v>
      </c>
      <c r="H26" s="210" t="s">
        <v>207</v>
      </c>
      <c r="I26" s="211" t="str">
        <f t="shared" si="2"/>
        <v>Mantenimiento del control</v>
      </c>
      <c r="J26" s="78">
        <f t="shared" si="0"/>
        <v>20</v>
      </c>
      <c r="K26" s="77">
        <v>0.12345678912345</v>
      </c>
      <c r="L26" s="77">
        <f t="shared" si="3"/>
        <v>20.123456789123448</v>
      </c>
    </row>
    <row r="27" spans="1:32" s="40" customFormat="1" ht="166.5" customHeight="1" thickBot="1" x14ac:dyDescent="0.3">
      <c r="A27" s="76" t="str">
        <f t="shared" si="1"/>
        <v>1l</v>
      </c>
      <c r="B27" s="239"/>
      <c r="C27" s="281"/>
      <c r="D27" s="282"/>
      <c r="E27" s="227" t="s">
        <v>58</v>
      </c>
      <c r="F27" s="212" t="s">
        <v>59</v>
      </c>
      <c r="G27" s="213" t="s">
        <v>39</v>
      </c>
      <c r="H27" s="214" t="s">
        <v>198</v>
      </c>
      <c r="I27" s="215" t="str">
        <f t="shared" si="2"/>
        <v>Mantenimiento del control</v>
      </c>
      <c r="J27" s="78">
        <f t="shared" si="0"/>
        <v>20</v>
      </c>
      <c r="K27" s="77">
        <v>0.12345678912345601</v>
      </c>
      <c r="L27" s="77">
        <f t="shared" si="3"/>
        <v>20.123456789123455</v>
      </c>
    </row>
    <row r="28" spans="1:32" s="40" customFormat="1" ht="158.25" customHeight="1" x14ac:dyDescent="0.25">
      <c r="A28" s="76" t="str">
        <f>2&amp;E28</f>
        <v>2a</v>
      </c>
      <c r="B28" s="240" t="s">
        <v>60</v>
      </c>
      <c r="C28" s="229" t="s">
        <v>61</v>
      </c>
      <c r="D28" s="232" t="s">
        <v>62</v>
      </c>
      <c r="E28" s="225" t="s">
        <v>34</v>
      </c>
      <c r="F28" s="202" t="s">
        <v>63</v>
      </c>
      <c r="G28" s="203" t="s">
        <v>39</v>
      </c>
      <c r="H28" s="201" t="s">
        <v>208</v>
      </c>
      <c r="I28" s="204" t="str">
        <f t="shared" si="2"/>
        <v>Mantenimiento del control</v>
      </c>
      <c r="J28" s="77">
        <f>+IF(G28="Si",40,IF(G28="En proceso",30,20))</f>
        <v>40</v>
      </c>
      <c r="K28" s="77">
        <v>0.23</v>
      </c>
      <c r="L28" s="77">
        <f t="shared" si="3"/>
        <v>40.229999999999997</v>
      </c>
    </row>
    <row r="29" spans="1:32" s="40" customFormat="1" ht="198" x14ac:dyDescent="0.25">
      <c r="A29" s="76" t="str">
        <f t="shared" ref="A29:A31" si="4">2&amp;E29</f>
        <v>2b</v>
      </c>
      <c r="B29" s="241"/>
      <c r="C29" s="230"/>
      <c r="D29" s="233"/>
      <c r="E29" s="226" t="s">
        <v>37</v>
      </c>
      <c r="F29" s="209" t="s">
        <v>64</v>
      </c>
      <c r="G29" s="206" t="s">
        <v>39</v>
      </c>
      <c r="H29" s="210" t="s">
        <v>210</v>
      </c>
      <c r="I29" s="211" t="str">
        <f t="shared" si="2"/>
        <v>Mantenimiento del control</v>
      </c>
      <c r="J29" s="77">
        <f>+IF(G29="Si",40,IF(G29="En proceso",30,20))</f>
        <v>40</v>
      </c>
      <c r="K29" s="77">
        <v>0.23400000000000001</v>
      </c>
      <c r="L29" s="77">
        <f t="shared" si="3"/>
        <v>40.234000000000002</v>
      </c>
    </row>
    <row r="30" spans="1:32" s="40" customFormat="1" ht="176.25" customHeight="1" x14ac:dyDescent="0.25">
      <c r="A30" s="76" t="str">
        <f t="shared" si="4"/>
        <v>2c</v>
      </c>
      <c r="B30" s="241"/>
      <c r="C30" s="230"/>
      <c r="D30" s="233"/>
      <c r="E30" s="226" t="s">
        <v>40</v>
      </c>
      <c r="F30" s="209" t="s">
        <v>65</v>
      </c>
      <c r="G30" s="206" t="s">
        <v>39</v>
      </c>
      <c r="H30" s="210" t="s">
        <v>209</v>
      </c>
      <c r="I30" s="211" t="str">
        <f t="shared" si="2"/>
        <v>Mantenimiento del control</v>
      </c>
      <c r="J30" s="77">
        <f>+IF(G30="Si",40,IF(G30="En proceso",30,20))</f>
        <v>40</v>
      </c>
      <c r="K30" s="77">
        <v>0.23449999999999999</v>
      </c>
      <c r="L30" s="77">
        <f t="shared" si="3"/>
        <v>40.234499999999997</v>
      </c>
    </row>
    <row r="31" spans="1:32" s="40" customFormat="1" ht="219" customHeight="1" thickBot="1" x14ac:dyDescent="0.3">
      <c r="A31" s="76" t="str">
        <f t="shared" si="4"/>
        <v>2d</v>
      </c>
      <c r="B31" s="242"/>
      <c r="C31" s="231"/>
      <c r="D31" s="234"/>
      <c r="E31" s="227" t="s">
        <v>42</v>
      </c>
      <c r="F31" s="212" t="s">
        <v>66</v>
      </c>
      <c r="G31" s="213" t="s">
        <v>39</v>
      </c>
      <c r="H31" s="214" t="s">
        <v>211</v>
      </c>
      <c r="I31" s="215" t="str">
        <f t="shared" si="2"/>
        <v>Mantenimiento del control</v>
      </c>
      <c r="J31" s="77">
        <f>+IF(G31="Si",40,IF(G31="En proceso",30,20))</f>
        <v>40</v>
      </c>
      <c r="K31" s="77">
        <v>0.23455999999999999</v>
      </c>
      <c r="L31" s="77">
        <f t="shared" si="3"/>
        <v>40.234560000000002</v>
      </c>
    </row>
    <row r="32" spans="1:32" s="40" customFormat="1" ht="201.75" customHeight="1" x14ac:dyDescent="0.25">
      <c r="A32" s="76" t="str">
        <f>3&amp;E32</f>
        <v>3a</v>
      </c>
      <c r="B32" s="235" t="s">
        <v>67</v>
      </c>
      <c r="C32" s="235" t="s">
        <v>61</v>
      </c>
      <c r="D32" s="243" t="s">
        <v>68</v>
      </c>
      <c r="E32" s="226" t="s">
        <v>34</v>
      </c>
      <c r="F32" s="209" t="s">
        <v>69</v>
      </c>
      <c r="G32" s="206" t="s">
        <v>39</v>
      </c>
      <c r="H32" s="210" t="s">
        <v>212</v>
      </c>
      <c r="I32" s="211" t="str">
        <f t="shared" si="2"/>
        <v>Mantenimiento del control</v>
      </c>
      <c r="J32" s="77">
        <f t="shared" ref="J32:J37" si="5">+IF(G32="Si",40,IF(G32="En proceso",30,20))</f>
        <v>40</v>
      </c>
      <c r="K32" s="79">
        <v>0.234567</v>
      </c>
      <c r="L32" s="77">
        <f t="shared" ref="L32:L37" si="6">+J32+K32</f>
        <v>40.234566999999998</v>
      </c>
      <c r="M32" s="39"/>
      <c r="N32" s="39"/>
      <c r="O32" s="39"/>
      <c r="P32" s="39"/>
      <c r="Q32" s="39"/>
      <c r="R32" s="39"/>
      <c r="S32" s="39"/>
      <c r="T32" s="39"/>
      <c r="U32" s="39"/>
      <c r="V32" s="39"/>
      <c r="W32" s="39"/>
      <c r="X32" s="39"/>
      <c r="Y32" s="39"/>
      <c r="Z32" s="39"/>
      <c r="AA32" s="39"/>
      <c r="AB32" s="39"/>
      <c r="AC32" s="39"/>
      <c r="AD32" s="39"/>
      <c r="AE32" s="39"/>
      <c r="AF32" s="39"/>
    </row>
    <row r="33" spans="1:32" s="40" customFormat="1" ht="211.5" customHeight="1" x14ac:dyDescent="0.25">
      <c r="A33" s="76" t="str">
        <f t="shared" ref="A33:A34" si="7">3&amp;E33</f>
        <v>3b</v>
      </c>
      <c r="B33" s="235"/>
      <c r="C33" s="235"/>
      <c r="D33" s="243"/>
      <c r="E33" s="226" t="s">
        <v>37</v>
      </c>
      <c r="F33" s="209" t="s">
        <v>70</v>
      </c>
      <c r="G33" s="206" t="s">
        <v>39</v>
      </c>
      <c r="H33" s="210" t="s">
        <v>213</v>
      </c>
      <c r="I33" s="211" t="str">
        <f t="shared" si="2"/>
        <v>Mantenimiento del control</v>
      </c>
      <c r="J33" s="77">
        <f t="shared" si="5"/>
        <v>40</v>
      </c>
      <c r="K33" s="79">
        <v>0.23456779999999999</v>
      </c>
      <c r="L33" s="77">
        <f t="shared" si="6"/>
        <v>40.234567800000001</v>
      </c>
      <c r="M33" s="39"/>
      <c r="N33" s="39"/>
      <c r="O33" s="39"/>
      <c r="P33" s="39"/>
      <c r="Q33" s="39"/>
      <c r="R33" s="39"/>
      <c r="S33" s="39"/>
      <c r="T33" s="39"/>
      <c r="U33" s="39"/>
      <c r="V33" s="39"/>
      <c r="W33" s="39"/>
      <c r="X33" s="39"/>
      <c r="Y33" s="39"/>
      <c r="Z33" s="39"/>
      <c r="AA33" s="39"/>
      <c r="AB33" s="39"/>
      <c r="AC33" s="39"/>
      <c r="AD33" s="39"/>
      <c r="AE33" s="39"/>
      <c r="AF33" s="39"/>
    </row>
    <row r="34" spans="1:32" s="40" customFormat="1" ht="265.5" customHeight="1" thickBot="1" x14ac:dyDescent="0.3">
      <c r="A34" s="76" t="str">
        <f t="shared" si="7"/>
        <v>3c</v>
      </c>
      <c r="B34" s="235"/>
      <c r="C34" s="235"/>
      <c r="D34" s="243"/>
      <c r="E34" s="226" t="s">
        <v>40</v>
      </c>
      <c r="F34" s="209" t="s">
        <v>71</v>
      </c>
      <c r="G34" s="206" t="s">
        <v>39</v>
      </c>
      <c r="H34" s="210" t="s">
        <v>214</v>
      </c>
      <c r="I34" s="211" t="str">
        <f t="shared" si="2"/>
        <v>Mantenimiento del control</v>
      </c>
      <c r="J34" s="77">
        <f t="shared" si="5"/>
        <v>40</v>
      </c>
      <c r="K34" s="79">
        <v>0.23456789</v>
      </c>
      <c r="L34" s="77">
        <f t="shared" si="6"/>
        <v>40.234567890000001</v>
      </c>
      <c r="M34" s="39"/>
      <c r="N34" s="39"/>
      <c r="O34" s="39"/>
      <c r="P34" s="39"/>
      <c r="Q34" s="39"/>
      <c r="R34" s="39"/>
      <c r="S34" s="39"/>
      <c r="T34" s="39"/>
      <c r="U34" s="39"/>
      <c r="V34" s="39"/>
      <c r="W34" s="39"/>
      <c r="X34" s="39"/>
      <c r="Y34" s="39"/>
      <c r="Z34" s="39"/>
      <c r="AA34" s="39"/>
      <c r="AB34" s="39"/>
      <c r="AC34" s="39"/>
      <c r="AD34" s="39"/>
      <c r="AE34" s="39"/>
      <c r="AF34" s="39"/>
    </row>
    <row r="35" spans="1:32" s="40" customFormat="1" ht="131.25" customHeight="1" x14ac:dyDescent="0.25">
      <c r="A35" s="76" t="str">
        <f>4&amp;E35</f>
        <v>4a</v>
      </c>
      <c r="B35" s="241" t="s">
        <v>72</v>
      </c>
      <c r="C35" s="230" t="s">
        <v>61</v>
      </c>
      <c r="D35" s="233" t="s">
        <v>73</v>
      </c>
      <c r="E35" s="225" t="s">
        <v>34</v>
      </c>
      <c r="F35" s="202" t="s">
        <v>74</v>
      </c>
      <c r="G35" s="203" t="s">
        <v>39</v>
      </c>
      <c r="H35" s="201" t="s">
        <v>215</v>
      </c>
      <c r="I35" s="204" t="str">
        <f t="shared" si="2"/>
        <v>Mantenimiento del control</v>
      </c>
      <c r="J35" s="77">
        <f t="shared" si="5"/>
        <v>40</v>
      </c>
      <c r="K35" s="79">
        <v>0.23456789119999999</v>
      </c>
      <c r="L35" s="77">
        <f t="shared" si="6"/>
        <v>40.234567891200001</v>
      </c>
      <c r="M35" s="39"/>
      <c r="N35" s="39"/>
      <c r="O35" s="39"/>
      <c r="P35" s="39"/>
      <c r="Q35" s="39"/>
    </row>
    <row r="36" spans="1:32" s="40" customFormat="1" ht="219.75" customHeight="1" x14ac:dyDescent="0.25">
      <c r="A36" s="76" t="str">
        <f t="shared" ref="A36:A37" si="8">4&amp;E36</f>
        <v>4b</v>
      </c>
      <c r="B36" s="241"/>
      <c r="C36" s="230"/>
      <c r="D36" s="233"/>
      <c r="E36" s="226" t="s">
        <v>37</v>
      </c>
      <c r="F36" s="209" t="s">
        <v>75</v>
      </c>
      <c r="G36" s="206" t="s">
        <v>39</v>
      </c>
      <c r="H36" s="210" t="s">
        <v>216</v>
      </c>
      <c r="I36" s="211" t="str">
        <f t="shared" si="2"/>
        <v>Mantenimiento del control</v>
      </c>
      <c r="J36" s="77">
        <f t="shared" si="5"/>
        <v>40</v>
      </c>
      <c r="K36" s="79">
        <v>0.23456789122999999</v>
      </c>
      <c r="L36" s="77">
        <f t="shared" si="6"/>
        <v>40.23456789123</v>
      </c>
      <c r="M36" s="39"/>
      <c r="N36" s="39"/>
      <c r="O36" s="39"/>
      <c r="P36" s="39"/>
      <c r="Q36" s="39"/>
    </row>
    <row r="37" spans="1:32" s="40" customFormat="1" ht="156.75" customHeight="1" thickBot="1" x14ac:dyDescent="0.3">
      <c r="A37" s="76" t="str">
        <f t="shared" si="8"/>
        <v>4c</v>
      </c>
      <c r="B37" s="241"/>
      <c r="C37" s="230"/>
      <c r="D37" s="233"/>
      <c r="E37" s="226" t="s">
        <v>40</v>
      </c>
      <c r="F37" s="209" t="s">
        <v>77</v>
      </c>
      <c r="G37" s="206" t="s">
        <v>39</v>
      </c>
      <c r="H37" s="210" t="s">
        <v>217</v>
      </c>
      <c r="I37" s="211" t="str">
        <f t="shared" si="2"/>
        <v>Mantenimiento del control</v>
      </c>
      <c r="J37" s="77">
        <f t="shared" si="5"/>
        <v>40</v>
      </c>
      <c r="K37" s="79">
        <v>0.23456789123399999</v>
      </c>
      <c r="L37" s="77">
        <f t="shared" si="6"/>
        <v>40.234567891234001</v>
      </c>
      <c r="M37" s="39"/>
      <c r="N37" s="39"/>
      <c r="O37" s="39"/>
      <c r="P37" s="39"/>
      <c r="Q37" s="39"/>
    </row>
    <row r="38" spans="1:32" s="40" customFormat="1" ht="251.25" customHeight="1" x14ac:dyDescent="0.25">
      <c r="A38" s="76" t="str">
        <f>5&amp;E38</f>
        <v>5a</v>
      </c>
      <c r="B38" s="244" t="s">
        <v>78</v>
      </c>
      <c r="C38" s="245" t="s">
        <v>79</v>
      </c>
      <c r="D38" s="246" t="s">
        <v>80</v>
      </c>
      <c r="E38" s="225" t="s">
        <v>34</v>
      </c>
      <c r="F38" s="202" t="s">
        <v>81</v>
      </c>
      <c r="G38" s="203" t="s">
        <v>39</v>
      </c>
      <c r="H38" s="201" t="s">
        <v>218</v>
      </c>
      <c r="I38" s="204" t="str">
        <f t="shared" si="2"/>
        <v>Mantenimiento del control</v>
      </c>
      <c r="J38" s="77">
        <f>+IF(G38="Si",60,IF(G38="En proceso",50,40))</f>
        <v>60</v>
      </c>
      <c r="K38" s="77">
        <v>0.31</v>
      </c>
      <c r="L38" s="77">
        <f t="shared" si="3"/>
        <v>60.31</v>
      </c>
    </row>
    <row r="39" spans="1:32" s="40" customFormat="1" ht="198" x14ac:dyDescent="0.25">
      <c r="A39" s="76" t="str">
        <f t="shared" ref="A39:A42" si="9">5&amp;E39</f>
        <v>5b</v>
      </c>
      <c r="B39" s="247"/>
      <c r="C39" s="248"/>
      <c r="D39" s="249"/>
      <c r="E39" s="226" t="s">
        <v>37</v>
      </c>
      <c r="F39" s="209" t="s">
        <v>82</v>
      </c>
      <c r="G39" s="206" t="s">
        <v>39</v>
      </c>
      <c r="H39" s="210" t="s">
        <v>219</v>
      </c>
      <c r="I39" s="211" t="str">
        <f t="shared" si="2"/>
        <v>Mantenimiento del control</v>
      </c>
      <c r="J39" s="77">
        <f>+IF(G39="Si",60,IF(G39="En proceso",50,40))</f>
        <v>60</v>
      </c>
      <c r="K39" s="77">
        <v>0.32300000000000001</v>
      </c>
      <c r="L39" s="77">
        <f t="shared" si="3"/>
        <v>60.323</v>
      </c>
    </row>
    <row r="40" spans="1:32" s="40" customFormat="1" ht="191.25" customHeight="1" x14ac:dyDescent="0.25">
      <c r="A40" s="76" t="str">
        <f t="shared" si="9"/>
        <v>5c</v>
      </c>
      <c r="B40" s="247"/>
      <c r="C40" s="248"/>
      <c r="D40" s="249"/>
      <c r="E40" s="226" t="s">
        <v>40</v>
      </c>
      <c r="F40" s="209" t="s">
        <v>83</v>
      </c>
      <c r="G40" s="206" t="s">
        <v>39</v>
      </c>
      <c r="H40" s="210" t="s">
        <v>220</v>
      </c>
      <c r="I40" s="211" t="str">
        <f t="shared" si="2"/>
        <v>Mantenimiento del control</v>
      </c>
      <c r="J40" s="77">
        <f>+IF(G40="Si",60,IF(G40="En proceso",50,40))</f>
        <v>60</v>
      </c>
      <c r="K40" s="77">
        <v>0.32400000000000001</v>
      </c>
      <c r="L40" s="77">
        <f t="shared" si="3"/>
        <v>60.323999999999998</v>
      </c>
    </row>
    <row r="41" spans="1:32" s="40" customFormat="1" ht="331.5" customHeight="1" x14ac:dyDescent="0.25">
      <c r="A41" s="76" t="str">
        <f t="shared" si="9"/>
        <v>5d</v>
      </c>
      <c r="B41" s="247"/>
      <c r="C41" s="248"/>
      <c r="D41" s="249"/>
      <c r="E41" s="226" t="s">
        <v>42</v>
      </c>
      <c r="F41" s="209" t="s">
        <v>84</v>
      </c>
      <c r="G41" s="206" t="s">
        <v>39</v>
      </c>
      <c r="H41" s="210" t="s">
        <v>221</v>
      </c>
      <c r="I41" s="211" t="str">
        <f t="shared" si="2"/>
        <v>Mantenimiento del control</v>
      </c>
      <c r="J41" s="77">
        <f>+IF(G41="Si",60,IF(G41="En proceso",50,40))</f>
        <v>60</v>
      </c>
      <c r="K41" s="77">
        <v>0.32500000000000001</v>
      </c>
      <c r="L41" s="77">
        <f t="shared" si="3"/>
        <v>60.325000000000003</v>
      </c>
    </row>
    <row r="42" spans="1:32" s="40" customFormat="1" ht="208.5" customHeight="1" thickBot="1" x14ac:dyDescent="0.3">
      <c r="A42" s="76" t="str">
        <f t="shared" si="9"/>
        <v>5e</v>
      </c>
      <c r="B42" s="250"/>
      <c r="C42" s="251"/>
      <c r="D42" s="252"/>
      <c r="E42" s="227" t="s">
        <v>44</v>
      </c>
      <c r="F42" s="212" t="s">
        <v>85</v>
      </c>
      <c r="G42" s="213" t="s">
        <v>39</v>
      </c>
      <c r="H42" s="214" t="s">
        <v>222</v>
      </c>
      <c r="I42" s="215" t="str">
        <f t="shared" si="2"/>
        <v>Mantenimiento del control</v>
      </c>
      <c r="J42" s="77">
        <f>+IF(G42="Si",60,IF(G42="En proceso",50,40))</f>
        <v>60</v>
      </c>
      <c r="K42" s="77">
        <v>0.32600000000000001</v>
      </c>
      <c r="L42" s="77">
        <f t="shared" si="3"/>
        <v>60.326000000000001</v>
      </c>
    </row>
    <row r="43" spans="1:32" s="40" customFormat="1" ht="66" x14ac:dyDescent="0.25">
      <c r="A43" s="76" t="str">
        <f>6&amp;E43</f>
        <v>6a</v>
      </c>
      <c r="B43" s="253" t="s">
        <v>86</v>
      </c>
      <c r="C43" s="254" t="s">
        <v>87</v>
      </c>
      <c r="D43" s="255" t="s">
        <v>88</v>
      </c>
      <c r="E43" s="225" t="s">
        <v>34</v>
      </c>
      <c r="F43" s="202" t="s">
        <v>89</v>
      </c>
      <c r="G43" s="203" t="s">
        <v>39</v>
      </c>
      <c r="H43" s="201" t="s">
        <v>223</v>
      </c>
      <c r="I43" s="204" t="str">
        <f t="shared" si="2"/>
        <v>Mantenimiento del control</v>
      </c>
      <c r="J43" s="77">
        <f t="shared" ref="J43:J49" si="10">+IF(G43="Si",80,IF(G43="En proceso",70,60))</f>
        <v>80</v>
      </c>
      <c r="K43" s="77">
        <v>0.41199999999999998</v>
      </c>
      <c r="L43" s="77">
        <f t="shared" si="3"/>
        <v>80.412000000000006</v>
      </c>
    </row>
    <row r="44" spans="1:32" s="40" customFormat="1" ht="121.5" customHeight="1" x14ac:dyDescent="0.25">
      <c r="A44" s="76" t="str">
        <f t="shared" ref="A44:A49" si="11">6&amp;E44</f>
        <v>6b</v>
      </c>
      <c r="B44" s="256"/>
      <c r="C44" s="257"/>
      <c r="D44" s="258"/>
      <c r="E44" s="226" t="s">
        <v>37</v>
      </c>
      <c r="F44" s="209" t="s">
        <v>90</v>
      </c>
      <c r="G44" s="206" t="s">
        <v>39</v>
      </c>
      <c r="H44" s="210" t="s">
        <v>199</v>
      </c>
      <c r="I44" s="211" t="str">
        <f t="shared" si="2"/>
        <v>Mantenimiento del control</v>
      </c>
      <c r="J44" s="77">
        <f t="shared" si="10"/>
        <v>80</v>
      </c>
      <c r="K44" s="77">
        <v>0.4123</v>
      </c>
      <c r="L44" s="77">
        <f t="shared" si="3"/>
        <v>80.412300000000002</v>
      </c>
    </row>
    <row r="45" spans="1:32" s="40" customFormat="1" ht="156" customHeight="1" x14ac:dyDescent="0.25">
      <c r="A45" s="76" t="str">
        <f t="shared" si="11"/>
        <v>6c</v>
      </c>
      <c r="B45" s="256"/>
      <c r="C45" s="257"/>
      <c r="D45" s="258"/>
      <c r="E45" s="226" t="s">
        <v>40</v>
      </c>
      <c r="F45" s="209" t="s">
        <v>91</v>
      </c>
      <c r="G45" s="206" t="s">
        <v>39</v>
      </c>
      <c r="H45" s="210" t="s">
        <v>224</v>
      </c>
      <c r="I45" s="211" t="str">
        <f t="shared" si="2"/>
        <v>Mantenimiento del control</v>
      </c>
      <c r="J45" s="77">
        <f t="shared" si="10"/>
        <v>80</v>
      </c>
      <c r="K45" s="77">
        <v>0.41233999999999998</v>
      </c>
      <c r="L45" s="77">
        <f t="shared" si="3"/>
        <v>80.41234</v>
      </c>
    </row>
    <row r="46" spans="1:32" s="40" customFormat="1" ht="231" x14ac:dyDescent="0.25">
      <c r="A46" s="76" t="str">
        <f t="shared" si="11"/>
        <v>6d</v>
      </c>
      <c r="B46" s="256"/>
      <c r="C46" s="257"/>
      <c r="D46" s="258"/>
      <c r="E46" s="226" t="s">
        <v>42</v>
      </c>
      <c r="F46" s="209" t="s">
        <v>92</v>
      </c>
      <c r="G46" s="206" t="s">
        <v>39</v>
      </c>
      <c r="H46" s="210" t="s">
        <v>225</v>
      </c>
      <c r="I46" s="211" t="str">
        <f t="shared" si="2"/>
        <v>Mantenimiento del control</v>
      </c>
      <c r="J46" s="77">
        <f t="shared" si="10"/>
        <v>80</v>
      </c>
      <c r="K46" s="77">
        <v>0.41234500000000002</v>
      </c>
      <c r="L46" s="77">
        <f t="shared" si="3"/>
        <v>80.412345000000002</v>
      </c>
    </row>
    <row r="47" spans="1:32" s="40" customFormat="1" ht="198" x14ac:dyDescent="0.25">
      <c r="A47" s="76" t="str">
        <f t="shared" si="11"/>
        <v>6e</v>
      </c>
      <c r="B47" s="256"/>
      <c r="C47" s="257"/>
      <c r="D47" s="258"/>
      <c r="E47" s="226" t="s">
        <v>44</v>
      </c>
      <c r="F47" s="209" t="s">
        <v>93</v>
      </c>
      <c r="G47" s="206" t="s">
        <v>39</v>
      </c>
      <c r="H47" s="210" t="s">
        <v>226</v>
      </c>
      <c r="I47" s="211" t="str">
        <f t="shared" si="2"/>
        <v>Mantenimiento del control</v>
      </c>
      <c r="J47" s="77">
        <f t="shared" si="10"/>
        <v>80</v>
      </c>
      <c r="K47" s="77">
        <v>0.41234559999999998</v>
      </c>
      <c r="L47" s="77">
        <f t="shared" si="3"/>
        <v>80.412345599999995</v>
      </c>
    </row>
    <row r="48" spans="1:32" s="40" customFormat="1" ht="241.5" customHeight="1" x14ac:dyDescent="0.25">
      <c r="A48" s="76" t="str">
        <f t="shared" si="11"/>
        <v>6f</v>
      </c>
      <c r="B48" s="256"/>
      <c r="C48" s="257"/>
      <c r="D48" s="258"/>
      <c r="E48" s="226" t="s">
        <v>46</v>
      </c>
      <c r="F48" s="209" t="s">
        <v>94</v>
      </c>
      <c r="G48" s="206" t="s">
        <v>39</v>
      </c>
      <c r="H48" s="210" t="s">
        <v>227</v>
      </c>
      <c r="I48" s="211" t="str">
        <f t="shared" si="2"/>
        <v>Mantenimiento del control</v>
      </c>
      <c r="J48" s="77">
        <f t="shared" si="10"/>
        <v>80</v>
      </c>
      <c r="K48" s="77">
        <v>0.41234567</v>
      </c>
      <c r="L48" s="77">
        <f t="shared" si="3"/>
        <v>80.412345669999993</v>
      </c>
    </row>
    <row r="49" spans="1:17" s="40" customFormat="1" ht="188.25" customHeight="1" thickBot="1" x14ac:dyDescent="0.3">
      <c r="A49" s="76" t="str">
        <f t="shared" si="11"/>
        <v>6g</v>
      </c>
      <c r="B49" s="259"/>
      <c r="C49" s="260"/>
      <c r="D49" s="261"/>
      <c r="E49" s="227" t="s">
        <v>48</v>
      </c>
      <c r="F49" s="212" t="s">
        <v>95</v>
      </c>
      <c r="G49" s="213" t="s">
        <v>39</v>
      </c>
      <c r="H49" s="214" t="s">
        <v>228</v>
      </c>
      <c r="I49" s="215" t="str">
        <f t="shared" si="2"/>
        <v>Mantenimiento del control</v>
      </c>
      <c r="J49" s="77">
        <f t="shared" si="10"/>
        <v>80</v>
      </c>
      <c r="K49" s="77">
        <v>0.41234567799999999</v>
      </c>
      <c r="L49" s="77">
        <f t="shared" si="3"/>
        <v>80.412345677999994</v>
      </c>
    </row>
    <row r="50" spans="1:17" s="40" customFormat="1" ht="146.25" customHeight="1" x14ac:dyDescent="0.25">
      <c r="A50" s="76" t="str">
        <f>7&amp;E50</f>
        <v>7a</v>
      </c>
      <c r="B50" s="262" t="s">
        <v>96</v>
      </c>
      <c r="C50" s="263" t="s">
        <v>97</v>
      </c>
      <c r="D50" s="264" t="s">
        <v>98</v>
      </c>
      <c r="E50" s="225" t="s">
        <v>34</v>
      </c>
      <c r="F50" s="202" t="s">
        <v>99</v>
      </c>
      <c r="G50" s="203" t="s">
        <v>39</v>
      </c>
      <c r="H50" s="201" t="s">
        <v>229</v>
      </c>
      <c r="I50" s="204" t="str">
        <f t="shared" si="2"/>
        <v>Mantenimiento del control</v>
      </c>
      <c r="J50" s="77">
        <f>+IF(G50="Si",120,IF(G50="En proceso",100,80))</f>
        <v>120</v>
      </c>
      <c r="K50" s="77">
        <v>0.85099999999999998</v>
      </c>
      <c r="L50" s="77">
        <f t="shared" si="3"/>
        <v>120.851</v>
      </c>
    </row>
    <row r="51" spans="1:17" s="40" customFormat="1" ht="354" customHeight="1" x14ac:dyDescent="0.25">
      <c r="A51" s="76" t="str">
        <f t="shared" ref="A51:A53" si="12">7&amp;E51</f>
        <v>7d</v>
      </c>
      <c r="B51" s="265"/>
      <c r="C51" s="266"/>
      <c r="D51" s="267"/>
      <c r="E51" s="226" t="s">
        <v>42</v>
      </c>
      <c r="F51" s="209" t="s">
        <v>100</v>
      </c>
      <c r="G51" s="206" t="s">
        <v>39</v>
      </c>
      <c r="H51" s="210" t="s">
        <v>230</v>
      </c>
      <c r="I51" s="211" t="str">
        <f t="shared" si="2"/>
        <v>Mantenimiento del control</v>
      </c>
      <c r="J51" s="77">
        <f t="shared" ref="J51:J59" si="13">+IF(G51="Si",120,IF(G51="En proceso",100,80))</f>
        <v>120</v>
      </c>
      <c r="K51" s="77">
        <v>0.85119999999999996</v>
      </c>
      <c r="L51" s="77">
        <f t="shared" si="3"/>
        <v>120.85120000000001</v>
      </c>
    </row>
    <row r="52" spans="1:17" s="40" customFormat="1" ht="162.75" customHeight="1" x14ac:dyDescent="0.25">
      <c r="A52" s="76" t="str">
        <f t="shared" si="12"/>
        <v>7f</v>
      </c>
      <c r="B52" s="265"/>
      <c r="C52" s="266"/>
      <c r="D52" s="267"/>
      <c r="E52" s="226" t="s">
        <v>46</v>
      </c>
      <c r="F52" s="209" t="s">
        <v>101</v>
      </c>
      <c r="G52" s="206" t="s">
        <v>39</v>
      </c>
      <c r="H52" s="210" t="s">
        <v>231</v>
      </c>
      <c r="I52" s="211" t="str">
        <f t="shared" si="2"/>
        <v>Mantenimiento del control</v>
      </c>
      <c r="J52" s="77">
        <f t="shared" si="13"/>
        <v>120</v>
      </c>
      <c r="K52" s="77">
        <v>0.85123000000000004</v>
      </c>
      <c r="L52" s="77">
        <f t="shared" si="3"/>
        <v>120.85123</v>
      </c>
    </row>
    <row r="53" spans="1:17" s="40" customFormat="1" ht="132.75" thickBot="1" x14ac:dyDescent="0.3">
      <c r="A53" s="76" t="str">
        <f t="shared" si="12"/>
        <v>7g</v>
      </c>
      <c r="B53" s="268"/>
      <c r="C53" s="269"/>
      <c r="D53" s="270"/>
      <c r="E53" s="227" t="s">
        <v>48</v>
      </c>
      <c r="F53" s="212" t="s">
        <v>102</v>
      </c>
      <c r="G53" s="213" t="s">
        <v>39</v>
      </c>
      <c r="H53" s="214" t="s">
        <v>232</v>
      </c>
      <c r="I53" s="215" t="str">
        <f t="shared" si="2"/>
        <v>Mantenimiento del control</v>
      </c>
      <c r="J53" s="77">
        <f t="shared" si="13"/>
        <v>120</v>
      </c>
      <c r="K53" s="77">
        <v>0.85123400000000005</v>
      </c>
      <c r="L53" s="77">
        <f t="shared" si="3"/>
        <v>120.85123400000001</v>
      </c>
    </row>
    <row r="54" spans="1:17" s="40" customFormat="1" ht="377.25" customHeight="1" thickBot="1" x14ac:dyDescent="0.3">
      <c r="A54" s="76" t="str">
        <f>8&amp;E54</f>
        <v>8h</v>
      </c>
      <c r="B54" s="271" t="s">
        <v>103</v>
      </c>
      <c r="C54" s="272" t="s">
        <v>97</v>
      </c>
      <c r="D54" s="273" t="s">
        <v>104</v>
      </c>
      <c r="E54" s="225" t="s">
        <v>50</v>
      </c>
      <c r="F54" s="202" t="s">
        <v>105</v>
      </c>
      <c r="G54" s="203" t="s">
        <v>36</v>
      </c>
      <c r="H54" s="201" t="s">
        <v>233</v>
      </c>
      <c r="I54" s="204" t="str">
        <f t="shared" si="2"/>
        <v>Deficiencia de control</v>
      </c>
      <c r="J54" s="77">
        <f t="shared" si="13"/>
        <v>80</v>
      </c>
      <c r="K54" s="77">
        <v>0.85123450000000001</v>
      </c>
      <c r="L54" s="77">
        <f t="shared" si="3"/>
        <v>80.851234500000004</v>
      </c>
    </row>
    <row r="55" spans="1:17" s="40" customFormat="1" ht="131.25" customHeight="1" x14ac:dyDescent="0.25">
      <c r="A55" s="76" t="str">
        <f>9&amp;E55</f>
        <v>9a</v>
      </c>
      <c r="B55" s="262" t="s">
        <v>106</v>
      </c>
      <c r="C55" s="263" t="s">
        <v>97</v>
      </c>
      <c r="D55" s="264" t="s">
        <v>107</v>
      </c>
      <c r="E55" s="225" t="s">
        <v>34</v>
      </c>
      <c r="F55" s="202" t="s">
        <v>108</v>
      </c>
      <c r="G55" s="203" t="s">
        <v>39</v>
      </c>
      <c r="H55" s="201" t="s">
        <v>234</v>
      </c>
      <c r="I55" s="204" t="str">
        <f t="shared" si="2"/>
        <v>Mantenimiento del control</v>
      </c>
      <c r="J55" s="77">
        <f t="shared" si="13"/>
        <v>120</v>
      </c>
      <c r="K55" s="79">
        <v>0.85123455999999997</v>
      </c>
      <c r="L55" s="77">
        <f t="shared" si="3"/>
        <v>120.85123455999999</v>
      </c>
      <c r="M55" s="39"/>
      <c r="N55" s="39"/>
      <c r="O55" s="39"/>
      <c r="P55" s="39"/>
      <c r="Q55" s="39"/>
    </row>
    <row r="56" spans="1:17" s="40" customFormat="1" ht="117" customHeight="1" x14ac:dyDescent="0.25">
      <c r="A56" s="76" t="str">
        <f t="shared" ref="A56:A59" si="14">9&amp;E56</f>
        <v>9b</v>
      </c>
      <c r="B56" s="265"/>
      <c r="C56" s="266"/>
      <c r="D56" s="267"/>
      <c r="E56" s="226" t="s">
        <v>37</v>
      </c>
      <c r="F56" s="209" t="s">
        <v>109</v>
      </c>
      <c r="G56" s="206" t="s">
        <v>39</v>
      </c>
      <c r="H56" s="210" t="s">
        <v>235</v>
      </c>
      <c r="I56" s="211" t="str">
        <f t="shared" si="2"/>
        <v>Mantenimiento del control</v>
      </c>
      <c r="J56" s="77">
        <f t="shared" si="13"/>
        <v>120</v>
      </c>
      <c r="K56" s="79">
        <v>0.851234567</v>
      </c>
      <c r="L56" s="77">
        <f t="shared" si="3"/>
        <v>120.85123456700001</v>
      </c>
      <c r="M56" s="39"/>
      <c r="N56" s="39"/>
      <c r="O56" s="39"/>
      <c r="P56" s="39"/>
      <c r="Q56" s="39"/>
    </row>
    <row r="57" spans="1:17" s="40" customFormat="1" ht="199.5" customHeight="1" x14ac:dyDescent="0.25">
      <c r="A57" s="76" t="str">
        <f t="shared" si="14"/>
        <v>9c</v>
      </c>
      <c r="B57" s="265"/>
      <c r="C57" s="266"/>
      <c r="D57" s="267"/>
      <c r="E57" s="226" t="s">
        <v>40</v>
      </c>
      <c r="F57" s="209" t="s">
        <v>110</v>
      </c>
      <c r="G57" s="206" t="s">
        <v>39</v>
      </c>
      <c r="H57" s="210" t="s">
        <v>236</v>
      </c>
      <c r="I57" s="211" t="str">
        <f t="shared" si="2"/>
        <v>Mantenimiento del control</v>
      </c>
      <c r="J57" s="77">
        <f t="shared" si="13"/>
        <v>120</v>
      </c>
      <c r="K57" s="79">
        <v>0.85123456779999995</v>
      </c>
      <c r="L57" s="77">
        <f t="shared" si="3"/>
        <v>120.85123456780001</v>
      </c>
      <c r="M57" s="39"/>
      <c r="N57" s="39"/>
      <c r="O57" s="39"/>
      <c r="P57" s="39"/>
      <c r="Q57" s="39"/>
    </row>
    <row r="58" spans="1:17" s="40" customFormat="1" ht="111" customHeight="1" x14ac:dyDescent="0.25">
      <c r="A58" s="76" t="str">
        <f t="shared" si="14"/>
        <v>9d</v>
      </c>
      <c r="B58" s="265"/>
      <c r="C58" s="266"/>
      <c r="D58" s="267"/>
      <c r="E58" s="226" t="s">
        <v>42</v>
      </c>
      <c r="F58" s="209" t="s">
        <v>111</v>
      </c>
      <c r="G58" s="206" t="s">
        <v>39</v>
      </c>
      <c r="H58" s="210" t="s">
        <v>237</v>
      </c>
      <c r="I58" s="211" t="str">
        <f t="shared" si="2"/>
        <v>Mantenimiento del control</v>
      </c>
      <c r="J58" s="77">
        <f t="shared" si="13"/>
        <v>120</v>
      </c>
      <c r="K58" s="79">
        <v>0.85123456788999996</v>
      </c>
      <c r="L58" s="77">
        <f t="shared" si="3"/>
        <v>120.85123456789</v>
      </c>
      <c r="M58" s="39"/>
      <c r="N58" s="39"/>
      <c r="O58" s="39"/>
      <c r="P58" s="39"/>
      <c r="Q58" s="39"/>
    </row>
    <row r="59" spans="1:17" s="40" customFormat="1" ht="143.25" customHeight="1" thickBot="1" x14ac:dyDescent="0.3">
      <c r="A59" s="76" t="str">
        <f t="shared" si="14"/>
        <v>9e</v>
      </c>
      <c r="B59" s="268"/>
      <c r="C59" s="266"/>
      <c r="D59" s="274"/>
      <c r="E59" s="227" t="s">
        <v>44</v>
      </c>
      <c r="F59" s="212" t="s">
        <v>112</v>
      </c>
      <c r="G59" s="213" t="s">
        <v>39</v>
      </c>
      <c r="H59" s="214" t="s">
        <v>238</v>
      </c>
      <c r="I59" s="215" t="str">
        <f t="shared" si="2"/>
        <v>Mantenimiento del control</v>
      </c>
      <c r="J59" s="77">
        <f t="shared" si="13"/>
        <v>120</v>
      </c>
      <c r="K59" s="79">
        <v>0.85123456789100005</v>
      </c>
      <c r="L59" s="77">
        <f t="shared" si="3"/>
        <v>120.851234567891</v>
      </c>
      <c r="M59" s="39"/>
      <c r="N59" s="39"/>
      <c r="O59" s="39"/>
      <c r="P59" s="39"/>
      <c r="Q59" s="39"/>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34" top="0.75" bottom="0.14000000000000001" header="0.3" footer="0.12"/>
  <pageSetup scale="24"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74"/>
  <sheetViews>
    <sheetView tabSelected="1" topLeftCell="A70" zoomScale="80" zoomScaleNormal="80" workbookViewId="0">
      <selection activeCell="G20" sqref="G20"/>
    </sheetView>
  </sheetViews>
  <sheetFormatPr baseColWidth="10" defaultColWidth="11.42578125" defaultRowHeight="23.25" x14ac:dyDescent="0.35"/>
  <cols>
    <col min="3" max="3" width="22.85546875" style="308" customWidth="1"/>
    <col min="4" max="4" width="22.5703125" style="308" customWidth="1"/>
    <col min="5" max="5" width="53.42578125" style="308" customWidth="1"/>
    <col min="6" max="6" width="11.42578125" style="311"/>
    <col min="7" max="7" width="28.28515625" style="308" customWidth="1"/>
    <col min="8" max="8" width="4.85546875" style="308" customWidth="1"/>
    <col min="9" max="9" width="15.28515625" style="308" customWidth="1"/>
    <col min="10" max="10" width="22.42578125" style="308" customWidth="1"/>
    <col min="11" max="29" width="11.42578125" style="1"/>
  </cols>
  <sheetData>
    <row r="1" spans="1:11" x14ac:dyDescent="0.35">
      <c r="A1" s="1"/>
      <c r="B1" s="1"/>
      <c r="C1" s="283"/>
      <c r="D1" s="283"/>
      <c r="E1" s="283"/>
      <c r="F1" s="309"/>
      <c r="G1" s="283"/>
      <c r="H1" s="283"/>
      <c r="I1" s="283"/>
      <c r="J1" s="283"/>
    </row>
    <row r="2" spans="1:11" s="1" customFormat="1" x14ac:dyDescent="0.35">
      <c r="C2" s="283"/>
      <c r="D2" s="283"/>
      <c r="E2" s="283"/>
      <c r="F2" s="309"/>
      <c r="G2" s="283"/>
      <c r="H2" s="283"/>
      <c r="I2" s="283"/>
      <c r="J2" s="283"/>
    </row>
    <row r="3" spans="1:11" s="1" customFormat="1" x14ac:dyDescent="0.35">
      <c r="C3" s="283"/>
      <c r="D3" s="283"/>
      <c r="E3" s="283"/>
      <c r="F3" s="309"/>
      <c r="G3" s="283"/>
      <c r="H3" s="283"/>
      <c r="I3" s="283"/>
      <c r="J3" s="283"/>
    </row>
    <row r="4" spans="1:11" x14ac:dyDescent="0.35">
      <c r="A4" s="1"/>
      <c r="B4" s="1"/>
      <c r="C4" s="283"/>
      <c r="D4" s="283"/>
      <c r="E4" s="283"/>
      <c r="F4" s="309"/>
      <c r="G4" s="283"/>
      <c r="H4" s="283"/>
      <c r="I4" s="283"/>
      <c r="J4" s="283"/>
    </row>
    <row r="5" spans="1:11" x14ac:dyDescent="0.35">
      <c r="A5" s="1"/>
      <c r="B5" s="1"/>
      <c r="C5" s="283"/>
      <c r="D5" s="283"/>
      <c r="E5" s="283"/>
      <c r="F5" s="309"/>
      <c r="G5" s="283"/>
      <c r="H5" s="283"/>
      <c r="I5" s="283"/>
      <c r="J5" s="283"/>
    </row>
    <row r="6" spans="1:11" ht="24" thickBot="1" x14ac:dyDescent="0.4">
      <c r="A6" s="1"/>
      <c r="B6" s="1"/>
      <c r="C6" s="283"/>
      <c r="D6" s="283"/>
      <c r="E6" s="283"/>
      <c r="F6" s="309"/>
      <c r="G6" s="283"/>
      <c r="H6" s="283"/>
      <c r="I6" s="283"/>
      <c r="J6" s="283"/>
    </row>
    <row r="7" spans="1:11" ht="26.25" thickBot="1" x14ac:dyDescent="0.3">
      <c r="A7" s="1"/>
      <c r="B7" s="1"/>
      <c r="C7" s="157" t="s">
        <v>113</v>
      </c>
      <c r="D7" s="158"/>
      <c r="E7" s="158"/>
      <c r="F7" s="158"/>
      <c r="G7" s="158"/>
      <c r="H7" s="158"/>
      <c r="I7" s="158"/>
      <c r="J7" s="158"/>
      <c r="K7" s="159"/>
    </row>
    <row r="8" spans="1:11" s="1" customFormat="1" ht="24" thickBot="1" x14ac:dyDescent="0.3">
      <c r="C8" s="284"/>
      <c r="D8" s="284"/>
      <c r="E8" s="285"/>
      <c r="F8" s="310"/>
      <c r="G8" s="285"/>
      <c r="H8" s="285"/>
      <c r="I8" s="286"/>
      <c r="J8" s="285"/>
      <c r="K8" s="35"/>
    </row>
    <row r="9" spans="1:11" ht="24" thickBot="1" x14ac:dyDescent="0.3">
      <c r="A9" s="1"/>
      <c r="B9" s="1"/>
      <c r="C9" s="287" t="s">
        <v>15</v>
      </c>
      <c r="D9" s="288"/>
      <c r="E9" s="288" t="s">
        <v>16</v>
      </c>
      <c r="F9" s="289"/>
      <c r="G9" s="285"/>
      <c r="H9" s="285"/>
      <c r="I9" s="286"/>
      <c r="J9" s="285"/>
      <c r="K9" s="35"/>
    </row>
    <row r="10" spans="1:11" ht="54" customHeight="1" x14ac:dyDescent="0.25">
      <c r="A10" s="1"/>
      <c r="B10" s="1"/>
      <c r="C10" s="290" t="s">
        <v>17</v>
      </c>
      <c r="D10" s="291"/>
      <c r="E10" s="292" t="s">
        <v>18</v>
      </c>
      <c r="F10" s="293"/>
      <c r="G10" s="294"/>
      <c r="H10" s="295">
        <v>1</v>
      </c>
      <c r="I10" s="286"/>
      <c r="J10" s="285"/>
      <c r="K10" s="35"/>
    </row>
    <row r="11" spans="1:11" ht="46.5" customHeight="1" x14ac:dyDescent="0.25">
      <c r="A11" s="1"/>
      <c r="B11" s="1"/>
      <c r="C11" s="296" t="s">
        <v>19</v>
      </c>
      <c r="D11" s="297"/>
      <c r="E11" s="298" t="s">
        <v>114</v>
      </c>
      <c r="F11" s="299"/>
      <c r="G11" s="300" t="s">
        <v>115</v>
      </c>
      <c r="H11" s="295">
        <v>0.75</v>
      </c>
      <c r="I11" s="286"/>
      <c r="J11" s="285"/>
      <c r="K11" s="35"/>
    </row>
    <row r="12" spans="1:11" ht="70.5" customHeight="1" thickBot="1" x14ac:dyDescent="0.3">
      <c r="A12" s="1"/>
      <c r="B12" s="1"/>
      <c r="C12" s="301" t="s">
        <v>21</v>
      </c>
      <c r="D12" s="302"/>
      <c r="E12" s="303" t="s">
        <v>116</v>
      </c>
      <c r="F12" s="304"/>
      <c r="G12" s="305"/>
      <c r="H12" s="295">
        <v>0.25</v>
      </c>
      <c r="I12" s="286"/>
      <c r="J12" s="285"/>
      <c r="K12" s="35"/>
    </row>
    <row r="13" spans="1:11" s="1" customFormat="1" x14ac:dyDescent="0.35">
      <c r="C13" s="283"/>
      <c r="D13" s="283"/>
      <c r="E13" s="283"/>
      <c r="F13" s="309"/>
      <c r="G13" s="283"/>
      <c r="H13" s="283"/>
      <c r="I13" s="283"/>
      <c r="J13" s="283"/>
    </row>
    <row r="14" spans="1:11" s="1" customFormat="1" x14ac:dyDescent="0.35">
      <c r="C14" s="283"/>
      <c r="D14" s="283"/>
      <c r="E14" s="283"/>
      <c r="F14" s="309"/>
      <c r="G14" s="283"/>
      <c r="H14" s="283"/>
      <c r="I14" s="283"/>
      <c r="J14" s="283"/>
    </row>
    <row r="15" spans="1:11" s="1" customFormat="1" x14ac:dyDescent="0.35">
      <c r="C15" s="283"/>
      <c r="D15" s="283"/>
      <c r="E15" s="283"/>
      <c r="F15" s="309"/>
      <c r="G15" s="283"/>
      <c r="H15" s="283"/>
      <c r="I15" s="283"/>
      <c r="J15" s="283"/>
    </row>
    <row r="16" spans="1:11" s="1" customFormat="1" ht="24" thickBot="1" x14ac:dyDescent="0.4">
      <c r="C16" s="283"/>
      <c r="D16" s="283"/>
      <c r="E16" s="283"/>
      <c r="F16" s="309"/>
      <c r="G16" s="283"/>
      <c r="H16" s="283"/>
      <c r="I16" s="283"/>
      <c r="J16" s="283"/>
    </row>
    <row r="17" spans="1:10" ht="16.5" x14ac:dyDescent="0.25">
      <c r="A17" s="1"/>
      <c r="B17" s="1"/>
      <c r="C17" s="312" t="s">
        <v>117</v>
      </c>
      <c r="D17" s="313" t="s">
        <v>118</v>
      </c>
      <c r="E17" s="314"/>
      <c r="F17" s="315" t="s">
        <v>119</v>
      </c>
      <c r="G17" s="316" t="s">
        <v>120</v>
      </c>
      <c r="H17" s="317"/>
      <c r="I17" s="318" t="s">
        <v>121</v>
      </c>
      <c r="J17" s="306" t="s">
        <v>122</v>
      </c>
    </row>
    <row r="18" spans="1:10" ht="36" customHeight="1" thickBot="1" x14ac:dyDescent="0.3">
      <c r="A18" s="1"/>
      <c r="B18" s="1"/>
      <c r="C18" s="319"/>
      <c r="D18" s="320" t="s">
        <v>123</v>
      </c>
      <c r="E18" s="321" t="s">
        <v>27</v>
      </c>
      <c r="F18" s="322"/>
      <c r="G18" s="323"/>
      <c r="H18" s="317"/>
      <c r="I18" s="324"/>
      <c r="J18" s="307"/>
    </row>
    <row r="19" spans="1:10" ht="65.25" customHeight="1" x14ac:dyDescent="0.25">
      <c r="A19" s="1"/>
      <c r="B19" s="1"/>
      <c r="C19" s="325">
        <v>1</v>
      </c>
      <c r="D19" s="326" t="s">
        <v>32</v>
      </c>
      <c r="E19" s="80" t="str">
        <f>+IFERROR(INDEX(Hoja1!$E$2:$E$45,MATCH('Análisis Resultados'!C19,Hoja1!$H$2:$H$45,0)),"")</f>
        <v>Un manual de funciones que describa los empleos de la entidad</v>
      </c>
      <c r="F19" s="327" t="str">
        <f>+IFERROR(VLOOKUP(C19,Hoja1!$H$2:$I$45,2,0),"")</f>
        <v>En proceso</v>
      </c>
      <c r="G19" s="328"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329"/>
      <c r="I19" s="330">
        <f>+IF(F19="Si",1,IF(F19="En proceso",0.5,0))</f>
        <v>0.5</v>
      </c>
      <c r="J19" s="150">
        <f>+AVERAGE(I19:I30)</f>
        <v>0.875</v>
      </c>
    </row>
    <row r="20" spans="1:10" ht="60" x14ac:dyDescent="0.25">
      <c r="A20" s="1"/>
      <c r="B20" s="1"/>
      <c r="C20" s="325">
        <v>2</v>
      </c>
      <c r="D20" s="331"/>
      <c r="E20" s="81" t="str">
        <f>+IFERROR(INDEX(Hoja1!$E$2:$E$45,MATCH('Análisis Resultados'!C20,Hoja1!$H$2:$H$45,0)),"")</f>
        <v>La documentación de sus procesos y procedimientos o bien una lista de actividades principales que permitan conocer el estado de su gestión</v>
      </c>
      <c r="F20" s="332" t="str">
        <f>+IFERROR(VLOOKUP(C20,Hoja1!$H$2:$I$45,2,0),"")</f>
        <v>En proceso</v>
      </c>
      <c r="G20" s="333"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20" s="329"/>
      <c r="I20" s="334">
        <f t="shared" ref="I20:I62" si="1">+IF(F20="Si",1,IF(F20="En proceso",0.5,0))</f>
        <v>0.5</v>
      </c>
      <c r="J20" s="151"/>
    </row>
    <row r="21" spans="1:10" ht="60" x14ac:dyDescent="0.25">
      <c r="A21" s="1"/>
      <c r="B21" s="1"/>
      <c r="C21" s="325">
        <v>3</v>
      </c>
      <c r="D21" s="331"/>
      <c r="E21" s="81" t="str">
        <f>+IFERROR(INDEX(Hoja1!$E$2:$E$45,MATCH('Análisis Resultados'!C21,Hoja1!$H$2:$H$45,0)),"")</f>
        <v>Procesos de desvinculación de servidores de acuerdo con lo previsto en la Constitución Política y las leyes</v>
      </c>
      <c r="F21" s="332" t="str">
        <f>+IFERROR(VLOOKUP(C21,Hoja1!$H$2:$I$45,2,0),"")</f>
        <v>En proceso</v>
      </c>
      <c r="G21" s="333" t="str">
        <f t="shared" si="0"/>
        <v>Se encuentra en proceso, pero requiere continuar con acciones dirigidas a contar con dicho aspecto de control.</v>
      </c>
      <c r="H21" s="329"/>
      <c r="I21" s="334">
        <f t="shared" si="1"/>
        <v>0.5</v>
      </c>
      <c r="J21" s="151"/>
    </row>
    <row r="22" spans="1:10" ht="56.25" customHeight="1" x14ac:dyDescent="0.25">
      <c r="A22" s="1"/>
      <c r="B22" s="1"/>
      <c r="C22" s="325">
        <v>4</v>
      </c>
      <c r="D22" s="331"/>
      <c r="E22" s="81" t="str">
        <f>+IFERROR(INDEX(Hoja1!$E$2:$E$45,MATCH('Análisis Resultados'!C22,Hoja1!$H$2:$H$45,0)),"")</f>
        <v>Documento interno o adopción del MECI actualizado</v>
      </c>
      <c r="F22" s="332" t="str">
        <f>+IFERROR(VLOOKUP(C22,Hoja1!$H$2:$I$45,2,0),"")</f>
        <v>Si</v>
      </c>
      <c r="G22" s="333" t="str">
        <f t="shared" si="0"/>
        <v>Existe requerimiento pero se requiere actividades  dirigidas a su mantenimiento dentro del marco de las lineas de defensa.</v>
      </c>
      <c r="H22" s="329"/>
      <c r="I22" s="334">
        <f t="shared" si="1"/>
        <v>1</v>
      </c>
      <c r="J22" s="151"/>
    </row>
    <row r="23" spans="1:10" ht="75" x14ac:dyDescent="0.25">
      <c r="A23" s="1"/>
      <c r="B23" s="1"/>
      <c r="C23" s="325">
        <v>5</v>
      </c>
      <c r="D23" s="331"/>
      <c r="E23" s="81" t="str">
        <f>+IFERROR(INDEX(Hoja1!$E$2:$E$45,MATCH('Análisis Resultados'!C23,Hoja1!$H$2:$H$45,0)),"")</f>
        <v>Un documento tal como un código de ética, integridad u otro que formalice los estándares de conducta, los principios institucionales o los valores del servicio público</v>
      </c>
      <c r="F23" s="332" t="str">
        <f>+IFERROR(VLOOKUP(C23,Hoja1!$H$2:$I$45,2,0),"")</f>
        <v>Si</v>
      </c>
      <c r="G23" s="333" t="str">
        <f t="shared" si="0"/>
        <v>Existe requerimiento pero se requiere actividades  dirigidas a su mantenimiento dentro del marco de las lineas de defensa.</v>
      </c>
      <c r="H23" s="329"/>
      <c r="I23" s="334">
        <f t="shared" si="1"/>
        <v>1</v>
      </c>
      <c r="J23" s="151"/>
    </row>
    <row r="24" spans="1:10" ht="75" x14ac:dyDescent="0.25">
      <c r="A24" s="1"/>
      <c r="B24" s="1"/>
      <c r="C24" s="325">
        <v>6</v>
      </c>
      <c r="D24" s="331"/>
      <c r="E24" s="81" t="str">
        <f>+IFERROR(INDEX(Hoja1!$E$2:$E$45,MATCH('Análisis Resultados'!C24,Hoja1!$H$2:$H$45,0)),"")</f>
        <v>Planes, programas y proyectos de acuerdo con las normas que rigen y atendiendo con su propósito fundamental institucional (misión)</v>
      </c>
      <c r="F24" s="332" t="str">
        <f>+IFERROR(VLOOKUP(C24,Hoja1!$H$2:$I$45,2,0),"")</f>
        <v>Si</v>
      </c>
      <c r="G24" s="333" t="str">
        <f t="shared" si="0"/>
        <v>Existe requerimiento pero se requiere actividades  dirigidas a su mantenimiento dentro del marco de las lineas de defensa.</v>
      </c>
      <c r="H24" s="329"/>
      <c r="I24" s="334">
        <f t="shared" si="1"/>
        <v>1</v>
      </c>
      <c r="J24" s="151"/>
    </row>
    <row r="25" spans="1:10" ht="75" x14ac:dyDescent="0.25">
      <c r="A25" s="1"/>
      <c r="B25" s="1"/>
      <c r="C25" s="325">
        <v>7</v>
      </c>
      <c r="D25" s="331"/>
      <c r="E25" s="81" t="str">
        <f>+IFERROR(INDEX(Hoja1!$E$2:$E$45,MATCH('Análisis Resultados'!C25,Hoja1!$H$2:$H$45,0)),"")</f>
        <v>Una estructura organizacional formalizada (organigrama)</v>
      </c>
      <c r="F25" s="332" t="str">
        <f>+IFERROR(VLOOKUP(C25,Hoja1!$H$2:$I$45,2,0),"")</f>
        <v>Si</v>
      </c>
      <c r="G25" s="333" t="str">
        <f t="shared" si="0"/>
        <v>Existe requerimiento pero se requiere actividades  dirigidas a su mantenimiento dentro del marco de las lineas de defensa.</v>
      </c>
      <c r="H25" s="329"/>
      <c r="I25" s="334">
        <f t="shared" si="1"/>
        <v>1</v>
      </c>
      <c r="J25" s="151"/>
    </row>
    <row r="26" spans="1:10" ht="75" x14ac:dyDescent="0.25">
      <c r="A26" s="1"/>
      <c r="B26" s="1"/>
      <c r="C26" s="325">
        <v>8</v>
      </c>
      <c r="D26" s="331"/>
      <c r="E26" s="81" t="str">
        <f>+IFERROR(INDEX(Hoja1!$E$2:$E$45,MATCH('Análisis Resultados'!C26,Hoja1!$H$2:$H$45,0)),"")</f>
        <v>Vinculación de los servidores públicos de acuerdo con el marco normativo que les rige (carrera administrativa, libre nombramiento y remoción, entre otros)</v>
      </c>
      <c r="F26" s="332" t="str">
        <f>+IFERROR(VLOOKUP(C26,Hoja1!$H$2:$I$45,2,0),"")</f>
        <v>Si</v>
      </c>
      <c r="G26" s="333" t="str">
        <f t="shared" si="0"/>
        <v>Existe requerimiento pero se requiere actividades  dirigidas a su mantenimiento dentro del marco de las lineas de defensa.</v>
      </c>
      <c r="H26" s="329"/>
      <c r="I26" s="334">
        <f t="shared" si="1"/>
        <v>1</v>
      </c>
      <c r="J26" s="151"/>
    </row>
    <row r="27" spans="1:10" ht="75" x14ac:dyDescent="0.25">
      <c r="A27" s="1"/>
      <c r="B27" s="1"/>
      <c r="C27" s="325">
        <v>9</v>
      </c>
      <c r="D27" s="331"/>
      <c r="E27" s="81" t="str">
        <f>+IFERROR(INDEX(Hoja1!$E$2:$E$45,MATCH('Análisis Resultados'!C27,Hoja1!$H$2:$H$45,0)),"")</f>
        <v>Procesos de inducción, capacitación y bienestar social para sus servidores públicos, de manera directa o en asociación con otras entidades municipales</v>
      </c>
      <c r="F27" s="332" t="str">
        <f>+IFERROR(VLOOKUP(C27,Hoja1!$H$2:$I$45,2,0),"")</f>
        <v>Si</v>
      </c>
      <c r="G27" s="333" t="str">
        <f t="shared" si="0"/>
        <v>Existe requerimiento pero se requiere actividades  dirigidas a su mantenimiento dentro del marco de las lineas de defensa.</v>
      </c>
      <c r="H27" s="329"/>
      <c r="I27" s="334">
        <f t="shared" si="1"/>
        <v>1</v>
      </c>
      <c r="J27" s="151"/>
    </row>
    <row r="28" spans="1:10" ht="75" x14ac:dyDescent="0.25">
      <c r="A28" s="1"/>
      <c r="B28" s="1"/>
      <c r="C28" s="325">
        <v>10</v>
      </c>
      <c r="D28" s="331"/>
      <c r="E28" s="81" t="str">
        <f>+IFERROR(INDEX(Hoja1!$E$2:$E$45,MATCH('Análisis Resultados'!C28,Hoja1!$H$2:$H$45,0)),"")</f>
        <v>Evaluación a los servidores públicos de acuerdo con el marco normativo que le rige</v>
      </c>
      <c r="F28" s="332" t="str">
        <f>+IFERROR(VLOOKUP(C28,Hoja1!$H$2:$I$45,2,0),"")</f>
        <v>Si</v>
      </c>
      <c r="G28" s="333" t="str">
        <f t="shared" si="0"/>
        <v>Existe requerimiento pero se requiere actividades  dirigidas a su mantenimiento dentro del marco de las lineas de defensa.</v>
      </c>
      <c r="H28" s="329"/>
      <c r="I28" s="334">
        <f t="shared" si="1"/>
        <v>1</v>
      </c>
      <c r="J28" s="151"/>
    </row>
    <row r="29" spans="1:10" ht="75" x14ac:dyDescent="0.25">
      <c r="A29" s="1"/>
      <c r="B29" s="1"/>
      <c r="C29" s="325">
        <v>11</v>
      </c>
      <c r="D29" s="331"/>
      <c r="E29" s="81" t="str">
        <f>+IFERROR(INDEX(Hoja1!$E$2:$E$45,MATCH('Análisis Resultados'!C29,Hoja1!$H$2:$H$45,0)),"")</f>
        <v>Mecanismos de rendición de cuentas a la ciudadanía</v>
      </c>
      <c r="F29" s="332" t="str">
        <f>+IFERROR(VLOOKUP(C29,Hoja1!$H$2:$I$45,2,0),"")</f>
        <v>Si</v>
      </c>
      <c r="G29" s="333"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329"/>
      <c r="I29" s="334">
        <f t="shared" si="1"/>
        <v>1</v>
      </c>
      <c r="J29" s="151"/>
    </row>
    <row r="30" spans="1:10" ht="75.75" thickBot="1" x14ac:dyDescent="0.3">
      <c r="A30" s="1"/>
      <c r="B30" s="1"/>
      <c r="C30" s="325">
        <v>12</v>
      </c>
      <c r="D30" s="335"/>
      <c r="E30" s="82" t="str">
        <f>+IFERROR(INDEX(Hoja1!$E$2:$E$45,MATCH('Análisis Resultados'!C30,Hoja1!$H$2:$H$45,0)),"")</f>
        <v>Presentación oportuna de sus informes de gestión a las autoridades competentes</v>
      </c>
      <c r="F30" s="336" t="str">
        <f>+IFERROR(VLOOKUP(C30,Hoja1!$H$2:$I$45,2,0),"")</f>
        <v>Si</v>
      </c>
      <c r="G30" s="337" t="str">
        <f t="shared" si="0"/>
        <v>Existe requerimiento pero se requiere actividades  dirigidas a su mantenimiento dentro del marco de las lineas de defensa.</v>
      </c>
      <c r="H30" s="329"/>
      <c r="I30" s="338">
        <f t="shared" si="1"/>
        <v>1</v>
      </c>
      <c r="J30" s="152"/>
    </row>
    <row r="31" spans="1:10" ht="45" customHeight="1" x14ac:dyDescent="0.25">
      <c r="A31" s="1"/>
      <c r="B31" s="1"/>
      <c r="C31" s="325">
        <v>13</v>
      </c>
      <c r="D31" s="339" t="s">
        <v>61</v>
      </c>
      <c r="E31" s="80" t="str">
        <f>+IFERROR(INDEX(Hoja1!$E$2:$E$45,MATCH('Análisis Resultados'!C31,Hoja1!$H$2:$H$45,0)),"")</f>
        <v>La identificación de cambios en su entorno que pueden generar consecuencias negativas en su gestión</v>
      </c>
      <c r="F31" s="327" t="str">
        <f>+IFERROR(VLOOKUP(C31,Hoja1!$H$2:$I$45,2,0),"")</f>
        <v>Si</v>
      </c>
      <c r="G31" s="328" t="str">
        <f t="shared" si="0"/>
        <v>Existe requerimiento pero se requiere actividades  dirigidas a su mantenimiento dentro del marco de las lineas de defensa.</v>
      </c>
      <c r="H31" s="329"/>
      <c r="I31" s="330">
        <f t="shared" si="1"/>
        <v>1</v>
      </c>
      <c r="J31" s="148">
        <f>+AVERAGE(I31:I40)</f>
        <v>1</v>
      </c>
    </row>
    <row r="32" spans="1:10" ht="57" customHeight="1" x14ac:dyDescent="0.25">
      <c r="A32" s="1"/>
      <c r="B32" s="1"/>
      <c r="C32" s="325">
        <v>14</v>
      </c>
      <c r="D32" s="340"/>
      <c r="E32" s="81" t="str">
        <f>+IFERROR(INDEX(Hoja1!$E$2:$E$45,MATCH('Análisis Resultados'!C32,Hoja1!$H$2:$H$45,0)),"")</f>
        <v>La identificación de aquellos problemas o aspectos que pueden afectar el cumplimiento de los planes de la entidad y en general su gestión institucional (riesgos)</v>
      </c>
      <c r="F32" s="332" t="str">
        <f>+IFERROR(VLOOKUP(C32,Hoja1!$H$2:$I$45,2,0),"")</f>
        <v>Si</v>
      </c>
      <c r="G32" s="333" t="str">
        <f t="shared" si="0"/>
        <v>Existe requerimiento pero se requiere actividades  dirigidas a su mantenimiento dentro del marco de las lineas de defensa.</v>
      </c>
      <c r="H32" s="329"/>
      <c r="I32" s="334">
        <f t="shared" si="1"/>
        <v>1</v>
      </c>
      <c r="J32" s="149"/>
    </row>
    <row r="33" spans="1:10" ht="54" customHeight="1" x14ac:dyDescent="0.25">
      <c r="A33" s="1"/>
      <c r="B33" s="1"/>
      <c r="C33" s="325">
        <v>15</v>
      </c>
      <c r="D33" s="340"/>
      <c r="E33" s="81" t="str">
        <f>+IFERROR(INDEX(Hoja1!$E$2:$E$45,MATCH('Análisis Resultados'!C33,Hoja1!$H$2:$H$45,0)),"")</f>
        <v>La identificación  de los riesgos relacionados con posibles actos de corrupción en el ejercicio de sus funciones</v>
      </c>
      <c r="F33" s="332" t="str">
        <f>+IFERROR(VLOOKUP(C33,Hoja1!$H$2:$I$45,2,0),"")</f>
        <v>Si</v>
      </c>
      <c r="G33" s="333" t="str">
        <f t="shared" si="0"/>
        <v>Existe requerimiento pero se requiere actividades  dirigidas a su mantenimiento dentro del marco de las lineas de defensa.</v>
      </c>
      <c r="H33" s="329"/>
      <c r="I33" s="334">
        <f t="shared" si="1"/>
        <v>1</v>
      </c>
      <c r="J33" s="149"/>
    </row>
    <row r="34" spans="1:10" ht="75" x14ac:dyDescent="0.25">
      <c r="A34" s="1"/>
      <c r="B34" s="1"/>
      <c r="C34" s="325">
        <v>16</v>
      </c>
      <c r="D34" s="340"/>
      <c r="E34" s="81" t="str">
        <f>+IFERROR(INDEX(Hoja1!$E$2:$E$45,MATCH('Análisis Resultados'!C34,Hoja1!$H$2:$H$45,0)),"")</f>
        <v>Si su capacidad e infraestructura lo permite, identificación de riesgos asociados a las tecnologías de la información y las comunicaciones</v>
      </c>
      <c r="F34" s="332" t="str">
        <f>+IFERROR(VLOOKUP(C34,Hoja1!$H$2:$I$45,2,0),"")</f>
        <v>Si</v>
      </c>
      <c r="G34" s="333" t="str">
        <f t="shared" si="0"/>
        <v>Existe requerimiento pero se requiere actividades  dirigidas a su mantenimiento dentro del marco de las lineas de defensa.</v>
      </c>
      <c r="H34" s="329"/>
      <c r="I34" s="334">
        <f t="shared" si="1"/>
        <v>1</v>
      </c>
      <c r="J34" s="149"/>
    </row>
    <row r="35" spans="1:10" ht="67.5" customHeight="1" x14ac:dyDescent="0.25">
      <c r="A35" s="1"/>
      <c r="B35" s="1"/>
      <c r="C35" s="325">
        <v>17</v>
      </c>
      <c r="D35" s="340"/>
      <c r="E35" s="81" t="str">
        <f>+IFERROR(INDEX(Hoja1!$E$2:$E$45,MATCH('Análisis Resultados'!C35,Hoja1!$H$2:$H$45,0)),"")</f>
        <v>Hacen seguimiento a los problemas (riesgos)  que pueden afectar el cumplimiento de sus procesos, programas o proyectos a cargo</v>
      </c>
      <c r="F35" s="332" t="str">
        <f>+IFERROR(VLOOKUP(C35,Hoja1!$H$2:$I$45,2,0),"")</f>
        <v>Si</v>
      </c>
      <c r="G35" s="333" t="str">
        <f t="shared" si="0"/>
        <v>Existe requerimiento pero se requiere actividades  dirigidas a su mantenimiento dentro del marco de las lineas de defensa.</v>
      </c>
      <c r="H35" s="329"/>
      <c r="I35" s="334">
        <f t="shared" si="1"/>
        <v>1</v>
      </c>
      <c r="J35" s="149"/>
    </row>
    <row r="36" spans="1:10" ht="75" x14ac:dyDescent="0.25">
      <c r="A36" s="1"/>
      <c r="B36" s="1"/>
      <c r="C36" s="325">
        <v>18</v>
      </c>
      <c r="D36" s="340"/>
      <c r="E36" s="81" t="str">
        <f>+IFERROR(INDEX(Hoja1!$E$2:$E$45,MATCH('Análisis Resultados'!C36,Hoja1!$H$2:$H$45,0)),"")</f>
        <v>Informan de manera periódica a quien corresponda sobre el desempeño de las actividades de gestión de riesgos</v>
      </c>
      <c r="F36" s="332" t="str">
        <f>+IFERROR(VLOOKUP(C36,Hoja1!$H$2:$I$45,2,0),"")</f>
        <v>Si</v>
      </c>
      <c r="G36" s="333" t="str">
        <f t="shared" si="0"/>
        <v>Existe requerimiento pero se requiere actividades  dirigidas a su mantenimiento dentro del marco de las lineas de defensa.</v>
      </c>
      <c r="H36" s="329"/>
      <c r="I36" s="334">
        <f t="shared" si="1"/>
        <v>1</v>
      </c>
      <c r="J36" s="149"/>
    </row>
    <row r="37" spans="1:10" ht="57" customHeight="1" x14ac:dyDescent="0.25">
      <c r="A37" s="1"/>
      <c r="B37" s="1"/>
      <c r="C37" s="325">
        <v>19</v>
      </c>
      <c r="D37" s="340"/>
      <c r="E37" s="81" t="str">
        <f>+IFERROR(INDEX(Hoja1!$E$2:$E$45,MATCH('Análisis Resultados'!C37,Hoja1!$H$2:$H$45,0)),"")</f>
        <v>Identifican deficiencias en las maneras de  controlar los riesgos o problemas en sus procesos, programas o proyectos, y propone los ajustes necesarios</v>
      </c>
      <c r="F37" s="332" t="str">
        <f>+IFERROR(VLOOKUP(C37,Hoja1!$H$2:$I$45,2,0),"")</f>
        <v>Si</v>
      </c>
      <c r="G37" s="333" t="str">
        <f t="shared" si="0"/>
        <v>Existe requerimiento pero se requiere actividades  dirigidas a su mantenimiento dentro del marco de las lineas de defensa.</v>
      </c>
      <c r="H37" s="329"/>
      <c r="I37" s="334">
        <f t="shared" si="1"/>
        <v>1</v>
      </c>
      <c r="J37" s="149"/>
    </row>
    <row r="38" spans="1:10" ht="75" x14ac:dyDescent="0.25">
      <c r="A38" s="1"/>
      <c r="B38" s="1"/>
      <c r="C38" s="325">
        <v>20</v>
      </c>
      <c r="D38" s="340"/>
      <c r="E38" s="81" t="str">
        <f>+IFERROR(INDEX(Hoja1!$E$2:$E$45,MATCH('Análisis Resultados'!C38,Hoja1!$H$2:$H$45,0)),"")</f>
        <v>Se definen espacios de reunión para conocerlos y proponer acciones para su solución</v>
      </c>
      <c r="F38" s="332" t="str">
        <f>+IFERROR(VLOOKUP(C38,Hoja1!$H$2:$I$45,2,0),"")</f>
        <v>Si</v>
      </c>
      <c r="G38" s="333" t="str">
        <f t="shared" si="0"/>
        <v>Existe requerimiento pero se requiere actividades  dirigidas a su mantenimiento dentro del marco de las lineas de defensa.</v>
      </c>
      <c r="H38" s="329"/>
      <c r="I38" s="334">
        <f t="shared" si="1"/>
        <v>1</v>
      </c>
      <c r="J38" s="149"/>
    </row>
    <row r="39" spans="1:10" ht="75" x14ac:dyDescent="0.25">
      <c r="A39" s="1"/>
      <c r="B39" s="1"/>
      <c r="C39" s="325">
        <v>21</v>
      </c>
      <c r="D39" s="340"/>
      <c r="E39" s="81" t="str">
        <f>+IFERROR(INDEX(Hoja1!$E$2:$E$45,MATCH('Análisis Resultados'!C39,Hoja1!$H$2:$H$45,0)),"")</f>
        <v>Cada líder del equipo autónomamente toma las acciones para solucionarlos.</v>
      </c>
      <c r="F39" s="332" t="str">
        <f>+IFERROR(VLOOKUP(C39,Hoja1!$H$2:$I$45,2,0),"")</f>
        <v>Si</v>
      </c>
      <c r="G39" s="333" t="str">
        <f t="shared" si="0"/>
        <v>Existe requerimiento pero se requiere actividades  dirigidas a su mantenimiento dentro del marco de las lineas de defensa.</v>
      </c>
      <c r="H39" s="329"/>
      <c r="I39" s="334">
        <f t="shared" si="1"/>
        <v>1</v>
      </c>
      <c r="J39" s="149"/>
    </row>
    <row r="40" spans="1:10" ht="75.75" thickBot="1" x14ac:dyDescent="0.3">
      <c r="A40" s="1"/>
      <c r="B40" s="1"/>
      <c r="C40" s="325">
        <v>22</v>
      </c>
      <c r="D40" s="340"/>
      <c r="E40" s="83" t="str">
        <f>+IFERROR(INDEX(Hoja1!$E$2:$E$45,MATCH('Análisis Resultados'!C40,Hoja1!$H$2:$H$45,0)),"")</f>
        <v>Solamente hasta que un organismo de control actúa se definen acciones de mejora.</v>
      </c>
      <c r="F40" s="341" t="str">
        <f>+IFERROR(VLOOKUP(C40,Hoja1!$H$2:$I$45,2,0),"")</f>
        <v>Si</v>
      </c>
      <c r="G40" s="342" t="str">
        <f t="shared" si="0"/>
        <v>Existe requerimiento pero se requiere actividades  dirigidas a su mantenimiento dentro del marco de las lineas de defensa.</v>
      </c>
      <c r="H40" s="329"/>
      <c r="I40" s="343">
        <f t="shared" si="1"/>
        <v>1</v>
      </c>
      <c r="J40" s="149"/>
    </row>
    <row r="41" spans="1:10" ht="87.75" customHeight="1" x14ac:dyDescent="0.25">
      <c r="A41" s="1"/>
      <c r="B41" s="1"/>
      <c r="C41" s="325">
        <v>23</v>
      </c>
      <c r="D41" s="344" t="s">
        <v>79</v>
      </c>
      <c r="E41" s="80" t="str">
        <f>+IFERROR(INDEX(Hoja1!$E$2:$E$45,MATCH('Análisis Resultados'!C41,Hoja1!$H$2:$H$45,0)),"")</f>
        <v>La definición de acciones o actividades para para dar tratamiento a los problemas identificados (mitigación de riesgos), incluyendo aquellos asociados a posibles actos de corrupción</v>
      </c>
      <c r="F41" s="327" t="str">
        <f>+IFERROR(VLOOKUP(C41,Hoja1!$H$2:$I$45,2,0),"")</f>
        <v>Si</v>
      </c>
      <c r="G41" s="328" t="str">
        <f t="shared" si="0"/>
        <v>Existe requerimiento pero se requiere actividades  dirigidas a su mantenimiento dentro del marco de las lineas de defensa.</v>
      </c>
      <c r="H41" s="329"/>
      <c r="I41" s="330">
        <f t="shared" si="1"/>
        <v>1</v>
      </c>
      <c r="J41" s="148">
        <f>+AVERAGE(I41:I45)</f>
        <v>1</v>
      </c>
    </row>
    <row r="42" spans="1:10" ht="75" x14ac:dyDescent="0.25">
      <c r="A42" s="1"/>
      <c r="B42" s="1"/>
      <c r="C42" s="325">
        <v>24</v>
      </c>
      <c r="D42" s="345"/>
      <c r="E42" s="81" t="str">
        <f>+IFERROR(INDEX(Hoja1!$E$2:$E$45,MATCH('Análisis Resultados'!C42,Hoja1!$H$2:$H$45,0)),"")</f>
        <v>Mecanismos de verificación de si se están o no mitigando los riesgos, o en su defecto, elaboración de planes de contingencia para subsanar sus consecuencias</v>
      </c>
      <c r="F42" s="332" t="str">
        <f>+IFERROR(VLOOKUP(C42,Hoja1!$H$2:$I$45,2,0),"")</f>
        <v>Si</v>
      </c>
      <c r="G42" s="333" t="str">
        <f t="shared" si="0"/>
        <v>Existe requerimiento pero se requiere actividades  dirigidas a su mantenimiento dentro del marco de las lineas de defensa.</v>
      </c>
      <c r="H42" s="329"/>
      <c r="I42" s="334">
        <f t="shared" si="1"/>
        <v>1</v>
      </c>
      <c r="J42" s="149"/>
    </row>
    <row r="43" spans="1:10" ht="85.5" customHeight="1" x14ac:dyDescent="0.25">
      <c r="A43" s="1"/>
      <c r="B43" s="1"/>
      <c r="C43" s="325">
        <v>25</v>
      </c>
      <c r="D43" s="345"/>
      <c r="E43" s="81" t="str">
        <f>+IFERROR(INDEX(Hoja1!$E$2:$E$45,MATCH('Análisis Resultados'!C43,Hoja1!$H$2:$H$45,0)),"")</f>
        <v>Planes, acciones o estrategias que permitan subsanar las consecuencias de la materialización de los riesgos, cuando se presentan</v>
      </c>
      <c r="F43" s="332" t="str">
        <f>+IFERROR(VLOOKUP(C43,Hoja1!$H$2:$I$45,2,0),"")</f>
        <v>Si</v>
      </c>
      <c r="G43" s="333" t="str">
        <f t="shared" si="0"/>
        <v>Existe requerimiento pero se requiere actividades  dirigidas a su mantenimiento dentro del marco de las lineas de defensa.</v>
      </c>
      <c r="H43" s="329"/>
      <c r="I43" s="334">
        <f t="shared" si="1"/>
        <v>1</v>
      </c>
      <c r="J43" s="149"/>
    </row>
    <row r="44" spans="1:10" ht="57" customHeight="1" x14ac:dyDescent="0.25">
      <c r="A44" s="1"/>
      <c r="B44" s="1"/>
      <c r="C44" s="325">
        <v>26</v>
      </c>
      <c r="D44" s="345"/>
      <c r="E44" s="81"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332" t="str">
        <f>+IFERROR(VLOOKUP(C44,Hoja1!$H$2:$I$45,2,0),"")</f>
        <v>Si</v>
      </c>
      <c r="G44" s="333" t="str">
        <f t="shared" si="0"/>
        <v>Existe requerimiento pero se requiere actividades  dirigidas a su mantenimiento dentro del marco de las lineas de defensa.</v>
      </c>
      <c r="H44" s="329"/>
      <c r="I44" s="334">
        <f t="shared" si="1"/>
        <v>1</v>
      </c>
      <c r="J44" s="149"/>
    </row>
    <row r="45" spans="1:10" ht="57" customHeight="1" thickBot="1" x14ac:dyDescent="0.3">
      <c r="A45" s="1"/>
      <c r="B45" s="1"/>
      <c r="C45" s="325">
        <v>27</v>
      </c>
      <c r="D45" s="346"/>
      <c r="E45" s="82" t="str">
        <f>+IFERROR(INDEX(Hoja1!$E$2:$E$45,MATCH('Análisis Resultados'!C45,Hoja1!$H$2:$H$45,0)),"")</f>
        <v>Un plan anticorrupción y de servicio al ciudadano con los temas que le aplican, publicado en algún medio para conocimiento de la ciudadanía</v>
      </c>
      <c r="F45" s="336" t="str">
        <f>+IFERROR(VLOOKUP(C45,Hoja1!$H$2:$I$45,2,0),"")</f>
        <v>Si</v>
      </c>
      <c r="G45" s="337" t="str">
        <f t="shared" si="0"/>
        <v>Existe requerimiento pero se requiere actividades  dirigidas a su mantenimiento dentro del marco de las lineas de defensa.</v>
      </c>
      <c r="H45" s="329"/>
      <c r="I45" s="338">
        <f t="shared" si="1"/>
        <v>1</v>
      </c>
      <c r="J45" s="156"/>
    </row>
    <row r="46" spans="1:10" ht="63.75" customHeight="1" x14ac:dyDescent="0.25">
      <c r="A46" s="1"/>
      <c r="B46" s="1"/>
      <c r="C46" s="325">
        <v>28</v>
      </c>
      <c r="D46" s="347" t="s">
        <v>87</v>
      </c>
      <c r="E46" s="84" t="str">
        <f>+IFERROR(INDEX(Hoja1!$E$2:$E$45,MATCH('Análisis Resultados'!C46,Hoja1!$H$2:$H$45,0)),"")</f>
        <v>Responsables de la información institucional</v>
      </c>
      <c r="F46" s="348" t="str">
        <f>+IFERROR(VLOOKUP(C46,Hoja1!$H$2:$I$45,2,0),"")</f>
        <v>Si</v>
      </c>
      <c r="G46" s="349" t="str">
        <f t="shared" si="0"/>
        <v>Existe requerimiento pero se requiere actividades  dirigidas a su mantenimiento dentro del marco de las lineas de defensa.</v>
      </c>
      <c r="H46" s="329"/>
      <c r="I46" s="350">
        <f t="shared" si="1"/>
        <v>1</v>
      </c>
      <c r="J46" s="149">
        <f>+AVERAGE(I46:I52)</f>
        <v>1</v>
      </c>
    </row>
    <row r="47" spans="1:10" ht="92.25" customHeight="1" x14ac:dyDescent="0.25">
      <c r="A47" s="1"/>
      <c r="B47" s="1"/>
      <c r="C47" s="325">
        <v>29</v>
      </c>
      <c r="D47" s="347"/>
      <c r="E47" s="81" t="str">
        <f>+IFERROR(INDEX(Hoja1!$E$2:$E$45,MATCH('Análisis Resultados'!C47,Hoja1!$H$2:$H$45,0)),"")</f>
        <v>Canales de comunicación con los ciudadanos</v>
      </c>
      <c r="F47" s="332" t="str">
        <f>+IFERROR(VLOOKUP(C47,Hoja1!$H$2:$I$45,2,0),"")</f>
        <v>Si</v>
      </c>
      <c r="G47" s="351" t="str">
        <f t="shared" si="0"/>
        <v>Existe requerimiento pero se requiere actividades  dirigidas a su mantenimiento dentro del marco de las lineas de defensa.</v>
      </c>
      <c r="H47" s="329"/>
      <c r="I47" s="352">
        <f t="shared" si="1"/>
        <v>1</v>
      </c>
      <c r="J47" s="149"/>
    </row>
    <row r="48" spans="1:10" ht="66.75" customHeight="1" x14ac:dyDescent="0.25">
      <c r="A48" s="1"/>
      <c r="B48" s="1"/>
      <c r="C48" s="325">
        <v>30</v>
      </c>
      <c r="D48" s="347"/>
      <c r="E48" s="81" t="str">
        <f>+IFERROR(INDEX(Hoja1!$E$2:$E$45,MATCH('Análisis Resultados'!C48,Hoja1!$H$2:$H$45,0)),"")</f>
        <v>Canales de comunicación o mecanismos de reporte de información a otros organismos gubernamentales o de control</v>
      </c>
      <c r="F48" s="332" t="str">
        <f>+IFERROR(VLOOKUP(C48,Hoja1!$H$2:$I$45,2,0),"")</f>
        <v>Si</v>
      </c>
      <c r="G48" s="351" t="str">
        <f t="shared" si="0"/>
        <v>Existe requerimiento pero se requiere actividades  dirigidas a su mantenimiento dentro del marco de las lineas de defensa.</v>
      </c>
      <c r="H48" s="329"/>
      <c r="I48" s="352">
        <f t="shared" si="1"/>
        <v>1</v>
      </c>
      <c r="J48" s="149"/>
    </row>
    <row r="49" spans="1:10" ht="60" customHeight="1" x14ac:dyDescent="0.25">
      <c r="A49" s="1"/>
      <c r="B49" s="1"/>
      <c r="C49" s="325">
        <v>31</v>
      </c>
      <c r="D49" s="347"/>
      <c r="E49" s="81" t="str">
        <f>+IFERROR(INDEX(Hoja1!$E$2:$E$45,MATCH('Análisis Resultados'!C49,Hoja1!$H$2:$H$45,0)),"")</f>
        <v xml:space="preserve">Lineamientos para dar tratamiento a la información de carácter reservado </v>
      </c>
      <c r="F49" s="332" t="str">
        <f>+IFERROR(VLOOKUP(C49,Hoja1!$H$2:$I$45,2,0),"")</f>
        <v>Si</v>
      </c>
      <c r="G49" s="351" t="str">
        <f t="shared" si="0"/>
        <v>Existe requerimiento pero se requiere actividades  dirigidas a su mantenimiento dentro del marco de las lineas de defensa.</v>
      </c>
      <c r="H49" s="329"/>
      <c r="I49" s="352">
        <f t="shared" si="1"/>
        <v>1</v>
      </c>
      <c r="J49" s="149"/>
    </row>
    <row r="50" spans="1:10" ht="57" customHeight="1" x14ac:dyDescent="0.25">
      <c r="A50" s="1"/>
      <c r="B50" s="1"/>
      <c r="C50" s="325">
        <v>32</v>
      </c>
      <c r="D50" s="347"/>
      <c r="E50" s="81" t="str">
        <f>+IFERROR(INDEX(Hoja1!$E$2:$E$45,MATCH('Análisis Resultados'!C50,Hoja1!$H$2:$H$45,0)),"")</f>
        <v>Identificación de información que produce en el marco de su gestión (Para los ciudadanos, organismos de control, organismos gubernamentales, entre otros)</v>
      </c>
      <c r="F50" s="332" t="str">
        <f>+IFERROR(VLOOKUP(C50,Hoja1!$H$2:$I$45,2,0),"")</f>
        <v>Si</v>
      </c>
      <c r="G50" s="351" t="str">
        <f t="shared" si="0"/>
        <v>Existe requerimiento pero se requiere actividades  dirigidas a su mantenimiento dentro del marco de las lineas de defensa.</v>
      </c>
      <c r="H50" s="329"/>
      <c r="I50" s="352">
        <f t="shared" si="1"/>
        <v>1</v>
      </c>
      <c r="J50" s="149"/>
    </row>
    <row r="51" spans="1:10" ht="57" customHeight="1" x14ac:dyDescent="0.25">
      <c r="A51" s="1"/>
      <c r="B51" s="1"/>
      <c r="C51" s="325">
        <v>33</v>
      </c>
      <c r="D51" s="347"/>
      <c r="E51" s="81" t="str">
        <f>+IFERROR(INDEX(Hoja1!$E$2:$E$45,MATCH('Análisis Resultados'!C51,Hoja1!$H$2:$H$45,0)),"")</f>
        <v>Identificación de información necesaria para la operación de la entidad (normograma, presupuesto, talento humano, infraestructura física y tecnológica)</v>
      </c>
      <c r="F51" s="332" t="str">
        <f>+IFERROR(VLOOKUP(C51,Hoja1!$H$2:$I$45,2,0),"")</f>
        <v>Si</v>
      </c>
      <c r="G51" s="351" t="str">
        <f t="shared" si="0"/>
        <v>Existe requerimiento pero se requiere actividades  dirigidas a su mantenimiento dentro del marco de las lineas de defensa.</v>
      </c>
      <c r="H51" s="329"/>
      <c r="I51" s="352">
        <f t="shared" si="1"/>
        <v>1</v>
      </c>
      <c r="J51" s="149"/>
    </row>
    <row r="52" spans="1:10" ht="75.75" thickBot="1" x14ac:dyDescent="0.3">
      <c r="A52" s="1"/>
      <c r="B52" s="1"/>
      <c r="C52" s="325">
        <v>34</v>
      </c>
      <c r="D52" s="347"/>
      <c r="E52" s="83" t="str">
        <f>+IFERROR(INDEX(Hoja1!$E$2:$E$45,MATCH('Análisis Resultados'!C52,Hoja1!$H$2:$H$45,0)),"")</f>
        <v>Si su capacidad e infraestructura lo permite, tecnologías de la información y las comunicaciones que soporten estos procesos</v>
      </c>
      <c r="F52" s="341" t="str">
        <f>+IFERROR(VLOOKUP(C52,Hoja1!$H$2:$I$45,2,0),"")</f>
        <v>Si</v>
      </c>
      <c r="G52" s="353" t="str">
        <f t="shared" si="0"/>
        <v>Existe requerimiento pero se requiere actividades  dirigidas a su mantenimiento dentro del marco de las lineas de defensa.</v>
      </c>
      <c r="H52" s="329"/>
      <c r="I52" s="354">
        <f t="shared" si="1"/>
        <v>1</v>
      </c>
      <c r="J52" s="149"/>
    </row>
    <row r="53" spans="1:10" ht="41.25" customHeight="1" x14ac:dyDescent="0.25">
      <c r="A53" s="1"/>
      <c r="B53" s="1"/>
      <c r="C53" s="325">
        <v>35</v>
      </c>
      <c r="D53" s="355" t="s">
        <v>97</v>
      </c>
      <c r="E53" s="80" t="str">
        <f>+IFERROR(INDEX(Hoja1!$E$2:$E$45,MATCH('Análisis Resultados'!C53,Hoja1!$H$2:$H$45,0)),"")</f>
        <v>La entidad participa en el  Comité Municipal de Auditoría?</v>
      </c>
      <c r="F53" s="327" t="str">
        <f>+IFERROR(VLOOKUP(C53,Hoja1!$H$2:$I$45,2,0),"")</f>
        <v>No</v>
      </c>
      <c r="G53" s="328" t="str">
        <f t="shared" si="0"/>
        <v>No se encuentra el aspecto  por lo tanto la entidad debera generar acciones dirigidas a que se cumpla con el requerimiento.</v>
      </c>
      <c r="H53" s="329"/>
      <c r="I53" s="330">
        <f t="shared" si="1"/>
        <v>0</v>
      </c>
      <c r="J53" s="153">
        <f>+AVERAGE(I53:I62)</f>
        <v>0.9</v>
      </c>
    </row>
    <row r="54" spans="1:10" ht="58.5" customHeight="1" x14ac:dyDescent="0.25">
      <c r="A54" s="1"/>
      <c r="B54" s="1"/>
      <c r="C54" s="325">
        <v>36</v>
      </c>
      <c r="D54" s="356"/>
      <c r="E54" s="81" t="str">
        <f>+IFERROR(INDEX(Hoja1!$E$2:$E$45,MATCH('Análisis Resultados'!C54,Hoja1!$H$2:$H$45,0)),"")</f>
        <v>Mecanismos de evaluación de la gestión (cronogramas, indicadores, listas de chequeo u otros)</v>
      </c>
      <c r="F54" s="332" t="str">
        <f>+IFERROR(VLOOKUP(C54,Hoja1!$H$2:$I$45,2,0),"")</f>
        <v>Si</v>
      </c>
      <c r="G54" s="333" t="str">
        <f t="shared" si="0"/>
        <v>Existe requerimiento pero se requiere actividades  dirigidas a su mantenimiento dentro del marco de las lineas de defensa.</v>
      </c>
      <c r="H54" s="329"/>
      <c r="I54" s="334">
        <f t="shared" si="1"/>
        <v>1</v>
      </c>
      <c r="J54" s="154"/>
    </row>
    <row r="55" spans="1:10" s="1" customFormat="1" ht="84.75" customHeight="1" x14ac:dyDescent="0.25">
      <c r="C55" s="325">
        <v>37</v>
      </c>
      <c r="D55" s="356"/>
      <c r="E55" s="81" t="str">
        <f>+IFERROR(INDEX(Hoja1!$E$2:$E$45,MATCH('Análisis Resultados'!C55,Hoja1!$H$2:$H$45,0)),"")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5" s="332" t="str">
        <f>+IFERROR(VLOOKUP(C55,Hoja1!$H$2:$I$45,2,0),"")</f>
        <v>Si</v>
      </c>
      <c r="G55" s="333" t="str">
        <f t="shared" si="0"/>
        <v>Existe requerimiento pero se requiere actividades  dirigidas a su mantenimiento dentro del marco de las lineas de defensa.</v>
      </c>
      <c r="H55" s="357"/>
      <c r="I55" s="334">
        <f t="shared" si="1"/>
        <v>1</v>
      </c>
      <c r="J55" s="154"/>
    </row>
    <row r="56" spans="1:10" s="1" customFormat="1" ht="78.75" customHeight="1" x14ac:dyDescent="0.25">
      <c r="C56" s="325">
        <v>38</v>
      </c>
      <c r="D56" s="356"/>
      <c r="E56" s="81" t="str">
        <f>+IFERROR(INDEX(Hoja1!$E$2:$E$45,MATCH('Análisis Resultados'!C56,Hoja1!$H$2:$H$45,0)),"")</f>
        <v>Medidas correctivas en caso de detectarse deficiencias en los ejercicios de evaluación, seguimiento o auditoría</v>
      </c>
      <c r="F56" s="332" t="str">
        <f>+IFERROR(VLOOKUP(C56,Hoja1!$H$2:$I$45,2,0),"")</f>
        <v>Si</v>
      </c>
      <c r="G56" s="333" t="str">
        <f t="shared" si="0"/>
        <v>Existe requerimiento pero se requiere actividades  dirigidas a su mantenimiento dentro del marco de las lineas de defensa.</v>
      </c>
      <c r="H56" s="357"/>
      <c r="I56" s="334">
        <f t="shared" si="1"/>
        <v>1</v>
      </c>
      <c r="J56" s="154"/>
    </row>
    <row r="57" spans="1:10" s="1" customFormat="1" ht="54.75" customHeight="1" x14ac:dyDescent="0.25">
      <c r="C57" s="325">
        <v>39</v>
      </c>
      <c r="D57" s="356"/>
      <c r="E57" s="81" t="str">
        <f>+IFERROR(INDEX(Hoja1!$E$2:$E$45,MATCH('Análisis Resultados'!C57,Hoja1!$H$2:$H$45,0)),"")</f>
        <v>Seguimiento a los planes de mejoramiento suscritos con instancias de control internas o externas</v>
      </c>
      <c r="F57" s="332" t="str">
        <f>+IFERROR(VLOOKUP(C57,Hoja1!$H$2:$I$45,2,0),"")</f>
        <v>Si</v>
      </c>
      <c r="G57" s="333" t="str">
        <f t="shared" si="0"/>
        <v>Existe requerimiento pero se requiere actividades  dirigidas a su mantenimiento dentro del marco de las lineas de defensa.</v>
      </c>
      <c r="H57" s="357"/>
      <c r="I57" s="334">
        <f t="shared" si="1"/>
        <v>1</v>
      </c>
      <c r="J57" s="154"/>
    </row>
    <row r="58" spans="1:10" s="1" customFormat="1" ht="68.25" customHeight="1" x14ac:dyDescent="0.25">
      <c r="C58" s="325">
        <v>40</v>
      </c>
      <c r="D58" s="356"/>
      <c r="E58" s="81" t="str">
        <f>+IFERROR(INDEX(Hoja1!$E$2:$E$45,MATCH('Análisis Resultados'!C58,Hoja1!$H$2:$H$45,0)),"")</f>
        <v>Evitar que los problemas (riesgos) obstaculicen el cumplimiento de los objetivos.</v>
      </c>
      <c r="F58" s="332" t="str">
        <f>+IFERROR(VLOOKUP(C58,Hoja1!$H$2:$I$45,2,0),"")</f>
        <v>Si</v>
      </c>
      <c r="G58" s="333" t="str">
        <f t="shared" si="0"/>
        <v>Existe requerimiento pero se requiere actividades  dirigidas a su mantenimiento dentro del marco de las lineas de defensa.</v>
      </c>
      <c r="H58" s="357"/>
      <c r="I58" s="334">
        <f t="shared" si="1"/>
        <v>1</v>
      </c>
      <c r="J58" s="154"/>
    </row>
    <row r="59" spans="1:10" s="1" customFormat="1" ht="45" customHeight="1" x14ac:dyDescent="0.25">
      <c r="C59" s="325">
        <v>41</v>
      </c>
      <c r="D59" s="356"/>
      <c r="E59" s="81" t="str">
        <f>+IFERROR(INDEX(Hoja1!$E$2:$E$45,MATCH('Análisis Resultados'!C59,Hoja1!$H$2:$H$45,0)),"")</f>
        <v>Controlar los puntos críticos en los procesos.</v>
      </c>
      <c r="F59" s="332" t="str">
        <f>+IFERROR(VLOOKUP(C59,Hoja1!$H$2:$I$45,2,0),"")</f>
        <v>Si</v>
      </c>
      <c r="G59" s="333" t="str">
        <f t="shared" si="0"/>
        <v>Existe requerimiento pero se requiere actividades  dirigidas a su mantenimiento dentro del marco de las lineas de defensa.</v>
      </c>
      <c r="H59" s="357"/>
      <c r="I59" s="334">
        <f t="shared" si="1"/>
        <v>1</v>
      </c>
      <c r="J59" s="154"/>
    </row>
    <row r="60" spans="1:10" s="1" customFormat="1" ht="51.75" customHeight="1" x14ac:dyDescent="0.25">
      <c r="C60" s="325">
        <v>42</v>
      </c>
      <c r="D60" s="356"/>
      <c r="E60" s="81" t="str">
        <f>+IFERROR(INDEX(Hoja1!$E$2:$E$45,MATCH('Análisis Resultados'!C60,Hoja1!$H$2:$H$45,0)),"")</f>
        <v>Diseñar acciones adecuadas para controlar los problemas que afectan el cumplimiento de las metas y objetivos institucionales (riesgos).</v>
      </c>
      <c r="F60" s="332" t="str">
        <f>+IFERROR(VLOOKUP(C60,Hoja1!$H$2:$I$45,2,0),"")</f>
        <v>Si</v>
      </c>
      <c r="G60" s="333" t="str">
        <f t="shared" si="0"/>
        <v>Existe requerimiento pero se requiere actividades  dirigidas a su mantenimiento dentro del marco de las lineas de defensa.</v>
      </c>
      <c r="H60" s="357"/>
      <c r="I60" s="334">
        <f t="shared" si="1"/>
        <v>1</v>
      </c>
      <c r="J60" s="154"/>
    </row>
    <row r="61" spans="1:10" s="1" customFormat="1" ht="84" customHeight="1" x14ac:dyDescent="0.25">
      <c r="C61" s="325">
        <v>43</v>
      </c>
      <c r="D61" s="356"/>
      <c r="E61" s="81" t="str">
        <f>+IFERROR(INDEX(Hoja1!$E$2:$E$45,MATCH('Análisis Resultados'!C61,Hoja1!$H$2:$H$45,0)),"")</f>
        <v>Ejecutar las acciones de acuerdo a como se diseñaron previamente.</v>
      </c>
      <c r="F61" s="332" t="str">
        <f>+IFERROR(VLOOKUP(C61,Hoja1!$H$2:$I$45,2,0),"")</f>
        <v>Si</v>
      </c>
      <c r="G61" s="333" t="str">
        <f t="shared" si="0"/>
        <v>Existe requerimiento pero se requiere actividades  dirigidas a su mantenimiento dentro del marco de las lineas de defensa.</v>
      </c>
      <c r="H61" s="357"/>
      <c r="I61" s="334">
        <f t="shared" si="1"/>
        <v>1</v>
      </c>
      <c r="J61" s="154"/>
    </row>
    <row r="62" spans="1:10" s="1" customFormat="1" ht="60" customHeight="1" thickBot="1" x14ac:dyDescent="0.3">
      <c r="C62" s="325">
        <v>44</v>
      </c>
      <c r="D62" s="358"/>
      <c r="E62" s="82" t="str">
        <f>+IFERROR(INDEX(Hoja1!$E$2:$E$45,MATCH('Análisis Resultados'!C62,Hoja1!$H$2:$H$45,0)),"")</f>
        <v>No se gestionan los problemas que afectan el cumplimiento de las funciones y objetivos institucionales(riesgos).</v>
      </c>
      <c r="F62" s="336" t="str">
        <f>+IFERROR(VLOOKUP(C62,Hoja1!$H$2:$I$45,2,0),"")</f>
        <v>Si</v>
      </c>
      <c r="G62" s="337" t="str">
        <f t="shared" si="0"/>
        <v>Existe requerimiento pero se requiere actividades  dirigidas a su mantenimiento dentro del marco de las lineas de defensa.</v>
      </c>
      <c r="H62" s="357"/>
      <c r="I62" s="338">
        <f t="shared" si="1"/>
        <v>1</v>
      </c>
      <c r="J62" s="155"/>
    </row>
    <row r="63" spans="1:10" s="1" customFormat="1" x14ac:dyDescent="0.35">
      <c r="C63" s="283"/>
      <c r="D63" s="283"/>
      <c r="E63" s="283"/>
      <c r="F63" s="309"/>
      <c r="G63" s="283"/>
      <c r="H63" s="283"/>
      <c r="I63" s="283"/>
      <c r="J63" s="283"/>
    </row>
    <row r="64" spans="1:10" s="1" customFormat="1" x14ac:dyDescent="0.35">
      <c r="C64" s="283"/>
      <c r="D64" s="283"/>
      <c r="E64" s="283"/>
      <c r="F64" s="309"/>
      <c r="G64" s="283"/>
      <c r="H64" s="283"/>
      <c r="I64" s="283"/>
      <c r="J64" s="283"/>
    </row>
    <row r="65" spans="1:10" s="1" customFormat="1" x14ac:dyDescent="0.35">
      <c r="C65" s="283"/>
      <c r="D65" s="283"/>
      <c r="E65" s="283"/>
      <c r="F65" s="309"/>
      <c r="G65" s="283"/>
      <c r="H65" s="283"/>
      <c r="I65" s="283"/>
      <c r="J65" s="283"/>
    </row>
    <row r="66" spans="1:10" s="1" customFormat="1" x14ac:dyDescent="0.35">
      <c r="C66" s="283"/>
      <c r="D66" s="283"/>
      <c r="E66" s="283"/>
      <c r="F66" s="309"/>
      <c r="G66" s="283"/>
      <c r="H66" s="283"/>
      <c r="I66" s="283"/>
      <c r="J66" s="283"/>
    </row>
    <row r="67" spans="1:10" s="1" customFormat="1" x14ac:dyDescent="0.35">
      <c r="C67" s="283"/>
      <c r="D67" s="283"/>
      <c r="E67" s="283"/>
      <c r="F67" s="309"/>
      <c r="G67" s="283"/>
      <c r="H67" s="283"/>
      <c r="I67" s="283"/>
      <c r="J67" s="283"/>
    </row>
    <row r="68" spans="1:10" s="1" customFormat="1" x14ac:dyDescent="0.35">
      <c r="C68" s="283"/>
      <c r="D68" s="283"/>
      <c r="E68" s="283"/>
      <c r="F68" s="309"/>
      <c r="G68" s="283"/>
      <c r="H68" s="283"/>
      <c r="I68" s="283"/>
      <c r="J68" s="283"/>
    </row>
    <row r="69" spans="1:10" s="1" customFormat="1" x14ac:dyDescent="0.35">
      <c r="C69" s="283"/>
      <c r="D69" s="283"/>
      <c r="E69" s="283"/>
      <c r="F69" s="309"/>
      <c r="G69" s="283"/>
      <c r="H69" s="283"/>
      <c r="I69" s="283"/>
      <c r="J69" s="283"/>
    </row>
    <row r="70" spans="1:10" s="1" customFormat="1" x14ac:dyDescent="0.35">
      <c r="C70" s="283"/>
      <c r="D70" s="283"/>
      <c r="E70" s="283"/>
      <c r="F70" s="309"/>
      <c r="G70" s="283"/>
      <c r="H70" s="283"/>
      <c r="I70" s="283"/>
      <c r="J70" s="283"/>
    </row>
    <row r="71" spans="1:10" x14ac:dyDescent="0.35">
      <c r="A71" s="1"/>
      <c r="B71" s="1"/>
    </row>
    <row r="72" spans="1:10" x14ac:dyDescent="0.35">
      <c r="A72" s="1"/>
      <c r="B72" s="1"/>
    </row>
    <row r="73" spans="1:10" x14ac:dyDescent="0.35">
      <c r="A73" s="1"/>
      <c r="B73" s="1"/>
    </row>
    <row r="74" spans="1:10" x14ac:dyDescent="0.3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6" priority="4" operator="between">
      <formula>0.75</formula>
      <formula>1</formula>
    </cfRule>
    <cfRule type="cellIs" dxfId="15" priority="5" operator="between">
      <formula>0.5</formula>
      <formula>0.74</formula>
    </cfRule>
    <cfRule type="cellIs" dxfId="14" priority="6" operator="between">
      <formula>0</formula>
      <formula>0.49</formula>
    </cfRule>
  </conditionalFormatting>
  <conditionalFormatting sqref="J19:J31 J41 J46 J53">
    <cfRule type="cellIs" priority="1" operator="between">
      <formula>0.75</formula>
      <formula>1</formula>
    </cfRule>
    <cfRule type="cellIs" dxfId="13" priority="2" operator="between">
      <formula>0.5</formula>
      <formula>0.75</formula>
    </cfRule>
    <cfRule type="cellIs" dxfId="12" priority="3" operator="between">
      <formula>0</formula>
      <formula>0.49</formula>
    </cfRule>
  </conditionalFormatting>
  <pageMargins left="0.25" right="0.25" top="0.75" bottom="0.75" header="0.3" footer="0.3"/>
  <pageSetup scale="47" fitToHeight="0"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1"/>
  <sheetViews>
    <sheetView topLeftCell="A2" zoomScale="64" zoomScaleNormal="64" workbookViewId="0">
      <selection activeCell="F22" sqref="F22:M2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hidden="1" x14ac:dyDescent="0.25"/>
    <row r="2" spans="1:17" ht="6" customHeight="1"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164" t="s">
        <v>124</v>
      </c>
      <c r="F4" s="166" t="s">
        <v>191</v>
      </c>
      <c r="G4" s="166"/>
      <c r="H4" s="166"/>
      <c r="I4" s="166"/>
      <c r="J4" s="166"/>
      <c r="K4" s="166"/>
      <c r="L4" s="166"/>
      <c r="M4" s="166"/>
      <c r="N4" s="6"/>
      <c r="O4" s="6"/>
      <c r="P4" s="7"/>
      <c r="Q4" s="1"/>
    </row>
    <row r="5" spans="1:17" ht="45.75" customHeight="1" x14ac:dyDescent="0.3">
      <c r="A5" s="1"/>
      <c r="B5" s="5"/>
      <c r="C5" s="1"/>
      <c r="D5" s="1"/>
      <c r="E5" s="165"/>
      <c r="F5" s="166"/>
      <c r="G5" s="166"/>
      <c r="H5" s="166"/>
      <c r="I5" s="166"/>
      <c r="J5" s="166"/>
      <c r="K5" s="166"/>
      <c r="L5" s="166"/>
      <c r="M5" s="166"/>
      <c r="N5" s="6"/>
      <c r="O5" s="6"/>
      <c r="P5" s="7"/>
      <c r="Q5" s="1"/>
    </row>
    <row r="6" spans="1:17" ht="66.75" customHeight="1" x14ac:dyDescent="0.3">
      <c r="A6" s="1"/>
      <c r="B6" s="5"/>
      <c r="C6" s="1"/>
      <c r="D6" s="1"/>
      <c r="E6" s="69" t="s">
        <v>125</v>
      </c>
      <c r="F6" s="167" t="s">
        <v>201</v>
      </c>
      <c r="G6" s="168"/>
      <c r="H6" s="168"/>
      <c r="I6" s="168"/>
      <c r="J6" s="168"/>
      <c r="K6" s="168"/>
      <c r="L6" s="168"/>
      <c r="M6" s="169"/>
      <c r="N6" s="8"/>
      <c r="O6" s="8"/>
      <c r="P6" s="7"/>
      <c r="Q6" s="1"/>
    </row>
    <row r="7" spans="1:17" ht="17.25" thickBot="1" x14ac:dyDescent="0.35">
      <c r="A7" s="1"/>
      <c r="B7" s="5"/>
      <c r="C7" s="1"/>
      <c r="D7" s="1"/>
      <c r="E7" s="9"/>
      <c r="F7" s="8"/>
      <c r="G7" s="8"/>
      <c r="H7" s="8"/>
      <c r="I7" s="8"/>
      <c r="J7" s="8"/>
      <c r="K7" s="8"/>
      <c r="L7" s="8"/>
      <c r="M7" s="1"/>
      <c r="N7" s="1"/>
      <c r="O7" s="1"/>
      <c r="P7" s="7"/>
      <c r="Q7" s="1"/>
    </row>
    <row r="8" spans="1:17" ht="97.5" customHeight="1" thickBot="1" x14ac:dyDescent="0.3">
      <c r="A8" s="1"/>
      <c r="B8" s="5"/>
      <c r="C8" s="1"/>
      <c r="D8" s="1"/>
      <c r="E8" s="1"/>
      <c r="F8" s="1"/>
      <c r="G8" s="1"/>
      <c r="H8" s="1"/>
      <c r="I8" s="170" t="s">
        <v>126</v>
      </c>
      <c r="J8" s="171"/>
      <c r="K8" s="172"/>
      <c r="L8" s="1"/>
      <c r="M8" s="85">
        <f>+AVERAGE(G26,G28,G30,G32,G34)</f>
        <v>0.95500000000000007</v>
      </c>
      <c r="N8" s="10"/>
      <c r="O8" s="10"/>
      <c r="P8" s="7"/>
      <c r="Q8" s="1"/>
    </row>
    <row r="9" spans="1:17" ht="15.75" x14ac:dyDescent="0.25">
      <c r="A9" s="1"/>
      <c r="B9" s="5"/>
      <c r="C9" s="1"/>
      <c r="D9" s="1"/>
      <c r="E9" s="1"/>
      <c r="F9" s="1"/>
      <c r="G9" s="1"/>
      <c r="H9" s="1"/>
      <c r="I9" s="1"/>
      <c r="J9" s="1"/>
      <c r="K9" s="1"/>
      <c r="L9" s="1"/>
      <c r="M9" s="11"/>
      <c r="N9" s="11"/>
      <c r="O9" s="11"/>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173" t="s">
        <v>127</v>
      </c>
      <c r="D18" s="174"/>
      <c r="E18" s="174"/>
      <c r="F18" s="174"/>
      <c r="G18" s="174"/>
      <c r="H18" s="174"/>
      <c r="I18" s="174"/>
      <c r="J18" s="174"/>
      <c r="K18" s="174"/>
      <c r="L18" s="174"/>
      <c r="M18" s="175"/>
      <c r="N18" s="12"/>
      <c r="O18" s="12"/>
      <c r="P18" s="7"/>
      <c r="Q18" s="1"/>
    </row>
    <row r="19" spans="1:17" ht="16.5" thickBot="1" x14ac:dyDescent="0.3">
      <c r="A19" s="1"/>
      <c r="B19" s="5"/>
      <c r="C19" s="13"/>
      <c r="D19" s="13"/>
      <c r="E19" s="13"/>
      <c r="F19" s="98"/>
      <c r="G19" s="13"/>
      <c r="H19" s="13"/>
      <c r="I19" s="13"/>
      <c r="J19" s="13"/>
      <c r="K19" s="13"/>
      <c r="L19" s="13"/>
      <c r="M19" s="13"/>
      <c r="N19" s="14"/>
      <c r="O19" s="14"/>
      <c r="P19" s="7"/>
      <c r="Q19" s="1"/>
    </row>
    <row r="20" spans="1:17" ht="150" customHeight="1" x14ac:dyDescent="0.25">
      <c r="A20" s="1"/>
      <c r="B20" s="5"/>
      <c r="C20" s="176" t="s">
        <v>128</v>
      </c>
      <c r="D20" s="177"/>
      <c r="E20" s="88" t="s">
        <v>39</v>
      </c>
      <c r="F20" s="178" t="s">
        <v>192</v>
      </c>
      <c r="G20" s="179"/>
      <c r="H20" s="179"/>
      <c r="I20" s="179"/>
      <c r="J20" s="179"/>
      <c r="K20" s="179"/>
      <c r="L20" s="179"/>
      <c r="M20" s="180"/>
      <c r="N20" s="14"/>
      <c r="O20" s="14"/>
      <c r="P20" s="7"/>
      <c r="Q20" s="1"/>
    </row>
    <row r="21" spans="1:17" ht="126.75" customHeight="1" x14ac:dyDescent="0.25">
      <c r="A21" s="1"/>
      <c r="B21" s="5"/>
      <c r="C21" s="160" t="s">
        <v>129</v>
      </c>
      <c r="D21" s="161"/>
      <c r="E21" s="89" t="s">
        <v>39</v>
      </c>
      <c r="F21" s="181" t="s">
        <v>200</v>
      </c>
      <c r="G21" s="182"/>
      <c r="H21" s="182"/>
      <c r="I21" s="182"/>
      <c r="J21" s="182"/>
      <c r="K21" s="182"/>
      <c r="L21" s="182"/>
      <c r="M21" s="183"/>
      <c r="N21" s="14"/>
      <c r="O21" s="14"/>
      <c r="P21" s="7"/>
      <c r="Q21" s="1"/>
    </row>
    <row r="22" spans="1:17" ht="151.5" customHeight="1" thickBot="1" x14ac:dyDescent="0.3">
      <c r="A22" s="1"/>
      <c r="B22" s="5"/>
      <c r="C22" s="162" t="s">
        <v>130</v>
      </c>
      <c r="D22" s="163"/>
      <c r="E22" s="90" t="s">
        <v>39</v>
      </c>
      <c r="F22" s="184" t="s">
        <v>193</v>
      </c>
      <c r="G22" s="185"/>
      <c r="H22" s="185"/>
      <c r="I22" s="185"/>
      <c r="J22" s="185"/>
      <c r="K22" s="185"/>
      <c r="L22" s="185"/>
      <c r="M22" s="186"/>
      <c r="N22" s="14"/>
      <c r="O22" s="14"/>
      <c r="P22" s="7"/>
      <c r="Q22" s="1"/>
    </row>
    <row r="23" spans="1:17" x14ac:dyDescent="0.25">
      <c r="A23" s="1"/>
      <c r="B23" s="5"/>
      <c r="C23" s="1"/>
      <c r="D23" s="1"/>
      <c r="E23" s="1"/>
      <c r="F23" s="1"/>
      <c r="G23" s="15"/>
      <c r="H23" s="1"/>
      <c r="I23" s="1"/>
      <c r="J23" s="1"/>
      <c r="K23" s="1"/>
      <c r="L23" s="1"/>
      <c r="M23" s="1"/>
      <c r="N23" s="1"/>
      <c r="O23" s="1"/>
      <c r="P23" s="7"/>
      <c r="Q23" s="1"/>
    </row>
    <row r="24" spans="1:17" ht="78.75" x14ac:dyDescent="0.25">
      <c r="A24" s="1"/>
      <c r="B24" s="5"/>
      <c r="C24" s="72" t="s">
        <v>131</v>
      </c>
      <c r="D24" s="73"/>
      <c r="E24" s="72" t="s">
        <v>132</v>
      </c>
      <c r="F24" s="73"/>
      <c r="G24" s="72" t="s">
        <v>133</v>
      </c>
      <c r="H24" s="73"/>
      <c r="I24" s="187" t="s">
        <v>134</v>
      </c>
      <c r="J24" s="187"/>
      <c r="K24" s="187"/>
      <c r="L24" s="187"/>
      <c r="M24" s="187"/>
      <c r="N24" s="30"/>
      <c r="O24" s="30"/>
      <c r="P24" s="7"/>
      <c r="Q24" s="16"/>
    </row>
    <row r="25" spans="1:17" ht="13.5" customHeight="1" thickBot="1" x14ac:dyDescent="0.3">
      <c r="A25" s="1"/>
      <c r="B25" s="5"/>
      <c r="C25" s="29"/>
      <c r="I25" s="188"/>
      <c r="J25" s="188"/>
      <c r="K25" s="188"/>
      <c r="L25" s="188"/>
      <c r="M25" s="188"/>
      <c r="N25" s="31"/>
      <c r="O25" s="31"/>
      <c r="P25" s="7"/>
      <c r="Q25" s="1"/>
    </row>
    <row r="26" spans="1:17" ht="158.25" customHeight="1" thickBot="1" x14ac:dyDescent="0.3">
      <c r="A26" s="1"/>
      <c r="B26" s="5"/>
      <c r="C26" s="63" t="s">
        <v>32</v>
      </c>
      <c r="D26" s="17"/>
      <c r="E26" s="86" t="str">
        <f>+IF(Hoja1!K2&gt;=0.5,"Si","No")</f>
        <v>Si</v>
      </c>
      <c r="F26" s="18"/>
      <c r="G26" s="87">
        <f>+Hoja1!K2</f>
        <v>0.875</v>
      </c>
      <c r="H26" s="18"/>
      <c r="I26" s="190" t="s">
        <v>239</v>
      </c>
      <c r="J26" s="191"/>
      <c r="K26" s="191"/>
      <c r="L26" s="191"/>
      <c r="M26" s="192"/>
      <c r="N26" s="32"/>
      <c r="O26" s="33"/>
      <c r="P26" s="19"/>
      <c r="Q26" s="20"/>
    </row>
    <row r="27" spans="1:17" ht="27" thickBot="1" x14ac:dyDescent="0.45">
      <c r="A27" s="1"/>
      <c r="B27" s="5"/>
      <c r="C27" s="64"/>
      <c r="E27" s="71"/>
      <c r="G27" s="21"/>
      <c r="I27" s="189"/>
      <c r="J27" s="189"/>
      <c r="K27" s="189"/>
      <c r="L27" s="189"/>
      <c r="M27" s="189"/>
      <c r="N27" s="34"/>
      <c r="O27" s="34"/>
      <c r="P27" s="7"/>
      <c r="Q27" s="1"/>
    </row>
    <row r="28" spans="1:17" ht="152.25" customHeight="1" thickBot="1" x14ac:dyDescent="0.3">
      <c r="A28" s="1"/>
      <c r="B28" s="5"/>
      <c r="C28" s="65" t="s">
        <v>135</v>
      </c>
      <c r="D28" s="17"/>
      <c r="E28" s="86" t="str">
        <f>+IF(Hoja1!K14&gt;=0.5,"Si","No")</f>
        <v>Si</v>
      </c>
      <c r="G28" s="87">
        <f>+Hoja1!K14</f>
        <v>1</v>
      </c>
      <c r="I28" s="193" t="s">
        <v>240</v>
      </c>
      <c r="J28" s="194"/>
      <c r="K28" s="194"/>
      <c r="L28" s="194"/>
      <c r="M28" s="195"/>
      <c r="N28" s="32"/>
      <c r="O28" s="32"/>
      <c r="P28" s="7"/>
      <c r="Q28" s="1"/>
    </row>
    <row r="29" spans="1:17" ht="27" thickBot="1" x14ac:dyDescent="0.45">
      <c r="A29" s="1"/>
      <c r="B29" s="5"/>
      <c r="C29" s="64"/>
      <c r="E29" s="71"/>
      <c r="G29" s="21"/>
      <c r="I29" s="189"/>
      <c r="J29" s="189"/>
      <c r="K29" s="189"/>
      <c r="L29" s="189"/>
      <c r="M29" s="189"/>
      <c r="N29" s="34"/>
      <c r="O29" s="34"/>
      <c r="P29" s="7"/>
      <c r="Q29" s="1"/>
    </row>
    <row r="30" spans="1:17" ht="123" customHeight="1" thickBot="1" x14ac:dyDescent="0.3">
      <c r="A30" s="1"/>
      <c r="B30" s="5"/>
      <c r="C30" s="66" t="s">
        <v>136</v>
      </c>
      <c r="D30" s="17"/>
      <c r="E30" s="86" t="str">
        <f>+IF(Hoja1!K24&gt;=0.5,"Si","No")</f>
        <v>Si</v>
      </c>
      <c r="G30" s="87">
        <f>+Hoja1!K24</f>
        <v>1</v>
      </c>
      <c r="I30" s="193" t="s">
        <v>241</v>
      </c>
      <c r="J30" s="194"/>
      <c r="K30" s="194"/>
      <c r="L30" s="194"/>
      <c r="M30" s="195"/>
      <c r="N30" s="32"/>
      <c r="O30" s="32"/>
      <c r="P30" s="7"/>
      <c r="Q30" s="1"/>
    </row>
    <row r="31" spans="1:17" ht="27" thickBot="1" x14ac:dyDescent="0.45">
      <c r="A31" s="1"/>
      <c r="B31" s="5"/>
      <c r="C31" s="64"/>
      <c r="E31" s="71"/>
      <c r="G31" s="21"/>
      <c r="I31" s="189"/>
      <c r="J31" s="189"/>
      <c r="K31" s="189"/>
      <c r="L31" s="189"/>
      <c r="M31" s="189"/>
      <c r="N31" s="34"/>
      <c r="O31" s="34"/>
      <c r="P31" s="7"/>
      <c r="Q31" s="1"/>
    </row>
    <row r="32" spans="1:17" ht="171" customHeight="1" thickBot="1" x14ac:dyDescent="0.3">
      <c r="A32" s="1"/>
      <c r="B32" s="5"/>
      <c r="C32" s="67" t="s">
        <v>87</v>
      </c>
      <c r="D32" s="17"/>
      <c r="E32" s="86" t="str">
        <f>+IF(Hoja1!K29&gt;=0.5,"Si","No")</f>
        <v>Si</v>
      </c>
      <c r="G32" s="87">
        <f>+Hoja1!K29</f>
        <v>1</v>
      </c>
      <c r="I32" s="196" t="s">
        <v>243</v>
      </c>
      <c r="J32" s="197"/>
      <c r="K32" s="197"/>
      <c r="L32" s="197"/>
      <c r="M32" s="198"/>
      <c r="N32" s="32"/>
      <c r="O32" s="32"/>
      <c r="P32" s="7"/>
      <c r="Q32" s="1"/>
    </row>
    <row r="33" spans="1:17" ht="27" thickBot="1" x14ac:dyDescent="0.45">
      <c r="A33" s="1"/>
      <c r="B33" s="5"/>
      <c r="C33" s="64"/>
      <c r="E33" s="71"/>
      <c r="G33" s="21"/>
      <c r="I33" s="189"/>
      <c r="J33" s="189"/>
      <c r="K33" s="189"/>
      <c r="L33" s="189"/>
      <c r="M33" s="189"/>
      <c r="N33" s="34"/>
      <c r="O33" s="34"/>
      <c r="P33" s="7"/>
      <c r="Q33" s="1"/>
    </row>
    <row r="34" spans="1:17" ht="198" customHeight="1" thickBot="1" x14ac:dyDescent="0.3">
      <c r="A34" s="1"/>
      <c r="B34" s="5"/>
      <c r="C34" s="68" t="s">
        <v>137</v>
      </c>
      <c r="D34" s="17"/>
      <c r="E34" s="70" t="str">
        <f>+IF(Hoja1!K36&gt;=0.5,"Si","No")</f>
        <v>Si</v>
      </c>
      <c r="G34" s="87">
        <f>+Hoja1!K36</f>
        <v>0.9</v>
      </c>
      <c r="I34" s="196" t="s">
        <v>242</v>
      </c>
      <c r="J34" s="199"/>
      <c r="K34" s="199"/>
      <c r="L34" s="199"/>
      <c r="M34" s="200"/>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27" operator="between">
      <formula>0.76</formula>
      <formula>1</formula>
    </cfRule>
    <cfRule type="cellIs" dxfId="2" priority="28" operator="between">
      <formula>0.51</formula>
      <formula>0.75</formula>
    </cfRule>
    <cfRule type="cellIs" dxfId="1" priority="29" operator="between">
      <formula>0.26</formula>
      <formula>0.5</formula>
    </cfRule>
    <cfRule type="cellIs" dxfId="0"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23" top="0.54" bottom="0.75" header="0.3" footer="0.3"/>
  <pageSetup paperSize="14" scale="27"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91" t="s">
        <v>25</v>
      </c>
      <c r="B1" s="91" t="s">
        <v>6</v>
      </c>
      <c r="C1" s="92" t="s">
        <v>8</v>
      </c>
      <c r="D1" s="93" t="s">
        <v>26</v>
      </c>
      <c r="E1" s="93" t="s">
        <v>27</v>
      </c>
      <c r="F1" s="93" t="s">
        <v>138</v>
      </c>
      <c r="G1" s="94" t="s">
        <v>139</v>
      </c>
      <c r="H1" s="94" t="s">
        <v>140</v>
      </c>
      <c r="I1" s="94" t="s">
        <v>119</v>
      </c>
      <c r="J1" s="94" t="s">
        <v>141</v>
      </c>
      <c r="K1" s="94" t="s">
        <v>142</v>
      </c>
    </row>
    <row r="2" spans="1:11" x14ac:dyDescent="0.25">
      <c r="A2" s="95" t="s">
        <v>143</v>
      </c>
      <c r="B2" s="95" t="str">
        <f>+VLOOKUP(A2,'Estado SCI'!$A$16:$C$59,3,0)</f>
        <v>AMBIENTE DE CONTROL</v>
      </c>
      <c r="C2" s="95" t="s">
        <v>33</v>
      </c>
      <c r="D2" s="95" t="s">
        <v>34</v>
      </c>
      <c r="E2" s="95" t="s">
        <v>35</v>
      </c>
      <c r="F2" s="95" t="str">
        <f>+VLOOKUP(A2,'Estado SCI'!$A$16:$I$59,9,0)</f>
        <v>Mantenimiento del control</v>
      </c>
      <c r="G2" s="95">
        <f>+VLOOKUP(A2,'Estado SCI'!$A$16:$L$59,12,0)</f>
        <v>20.123000000000001</v>
      </c>
      <c r="H2" s="95">
        <f t="shared" ref="H2:H45" si="0">+_xlfn.RANK.EQ(G2,$G$2:$G$45,1)</f>
        <v>4</v>
      </c>
      <c r="I2" s="95" t="str">
        <f>+IF(VLOOKUP(A2,'Estado SCI'!$A$16:$G$59,7,0)="","",VLOOKUP(A2,'Estado SCI'!$A$16:$G$59,7,0))</f>
        <v>Si</v>
      </c>
      <c r="J2" s="96">
        <f>+IF(I2="Si",1,IF(I2="En proceso",0.5,0))</f>
        <v>1</v>
      </c>
      <c r="K2" s="97">
        <f t="shared" ref="K2:K45" si="1">+AVERAGEIF($B$2:$B$45,B2,$J$2:$J$45)</f>
        <v>0.875</v>
      </c>
    </row>
    <row r="3" spans="1:11" x14ac:dyDescent="0.25">
      <c r="A3" s="95" t="s">
        <v>144</v>
      </c>
      <c r="B3" s="95" t="s">
        <v>32</v>
      </c>
      <c r="C3" s="95" t="s">
        <v>33</v>
      </c>
      <c r="D3" s="95" t="s">
        <v>37</v>
      </c>
      <c r="E3" s="95" t="s">
        <v>38</v>
      </c>
      <c r="F3" s="95" t="str">
        <f>+VLOOKUP(A3,'Estado SCI'!$A$16:$I$59,9,0)</f>
        <v>Mantenimiento del control</v>
      </c>
      <c r="G3" s="95">
        <f>+VLOOKUP(A3,'Estado SCI'!$A$16:$L$59,12,0)</f>
        <v>20.1234</v>
      </c>
      <c r="H3" s="95">
        <f t="shared" si="0"/>
        <v>5</v>
      </c>
      <c r="I3" s="95" t="str">
        <f>+IF(VLOOKUP(A3,'Estado SCI'!$A$16:$G$59,7,0)="","",VLOOKUP(A3,'Estado SCI'!$A$16:$G$59,7,0))</f>
        <v>Si</v>
      </c>
      <c r="J3" s="96">
        <f t="shared" ref="J3:J45" si="2">+IF(I3="Si",1,IF(I3="En proceso",0.5,0))</f>
        <v>1</v>
      </c>
      <c r="K3" s="97">
        <f t="shared" si="1"/>
        <v>0.875</v>
      </c>
    </row>
    <row r="4" spans="1:11" x14ac:dyDescent="0.25">
      <c r="A4" s="95" t="s">
        <v>145</v>
      </c>
      <c r="B4" s="95" t="s">
        <v>32</v>
      </c>
      <c r="C4" s="95" t="s">
        <v>33</v>
      </c>
      <c r="D4" s="95" t="s">
        <v>40</v>
      </c>
      <c r="E4" s="95" t="s">
        <v>41</v>
      </c>
      <c r="F4" s="95" t="str">
        <f>+VLOOKUP(A4,'Estado SCI'!$A$16:$I$59,9,0)</f>
        <v>Mantenimiento del control</v>
      </c>
      <c r="G4" s="95">
        <f>+VLOOKUP(A4,'Estado SCI'!$A$16:$L$59,12,0)</f>
        <v>20.123449999999998</v>
      </c>
      <c r="H4" s="95">
        <f t="shared" si="0"/>
        <v>6</v>
      </c>
      <c r="I4" s="95" t="str">
        <f>+IF(VLOOKUP(A4,'Estado SCI'!$A$16:$G$59,7,0)="","",VLOOKUP(A4,'Estado SCI'!$A$16:$G$59,7,0))</f>
        <v>Si</v>
      </c>
      <c r="J4" s="96">
        <f t="shared" si="2"/>
        <v>1</v>
      </c>
      <c r="K4" s="97">
        <f t="shared" si="1"/>
        <v>0.875</v>
      </c>
    </row>
    <row r="5" spans="1:11" x14ac:dyDescent="0.25">
      <c r="A5" s="95" t="s">
        <v>146</v>
      </c>
      <c r="B5" s="95" t="s">
        <v>32</v>
      </c>
      <c r="C5" s="95" t="s">
        <v>33</v>
      </c>
      <c r="D5" s="95" t="s">
        <v>42</v>
      </c>
      <c r="E5" s="95" t="s">
        <v>43</v>
      </c>
      <c r="F5" s="95" t="str">
        <f>+VLOOKUP(A5,'Estado SCI'!$A$16:$I$59,9,0)</f>
        <v>Mantenimiento del control</v>
      </c>
      <c r="G5" s="95">
        <f>+VLOOKUP(A5,'Estado SCI'!$A$16:$L$59,12,0)</f>
        <v>20.123456000000001</v>
      </c>
      <c r="H5" s="95">
        <f t="shared" si="0"/>
        <v>7</v>
      </c>
      <c r="I5" s="95" t="str">
        <f>+IF(VLOOKUP(A5,'Estado SCI'!$A$16:$G$59,7,0)="","",VLOOKUP(A5,'Estado SCI'!$A$16:$G$59,7,0))</f>
        <v>Si</v>
      </c>
      <c r="J5" s="96">
        <f t="shared" si="2"/>
        <v>1</v>
      </c>
      <c r="K5" s="97">
        <f t="shared" si="1"/>
        <v>0.875</v>
      </c>
    </row>
    <row r="6" spans="1:11" x14ac:dyDescent="0.25">
      <c r="A6" s="95" t="s">
        <v>147</v>
      </c>
      <c r="B6" s="95" t="s">
        <v>32</v>
      </c>
      <c r="C6" s="95" t="s">
        <v>33</v>
      </c>
      <c r="D6" s="95" t="s">
        <v>44</v>
      </c>
      <c r="E6" s="95" t="s">
        <v>45</v>
      </c>
      <c r="F6" s="95" t="str">
        <f>+VLOOKUP(A6,'Estado SCI'!$A$16:$I$59,9,0)</f>
        <v>Oportunidad de mejora</v>
      </c>
      <c r="G6" s="95">
        <f>+VLOOKUP(A6,'Estado SCI'!$A$16:$L$59,12,0)</f>
        <v>10.12345678</v>
      </c>
      <c r="H6" s="95">
        <f t="shared" si="0"/>
        <v>1</v>
      </c>
      <c r="I6" s="95" t="str">
        <f>+IF(VLOOKUP(A6,'Estado SCI'!$A$16:$G$59,7,0)="","",VLOOKUP(A6,'Estado SCI'!$A$16:$G$59,7,0))</f>
        <v>En proceso</v>
      </c>
      <c r="J6" s="96">
        <f t="shared" si="2"/>
        <v>0.5</v>
      </c>
      <c r="K6" s="97">
        <f t="shared" si="1"/>
        <v>0.875</v>
      </c>
    </row>
    <row r="7" spans="1:11" x14ac:dyDescent="0.25">
      <c r="A7" s="95" t="s">
        <v>148</v>
      </c>
      <c r="B7" s="95" t="s">
        <v>32</v>
      </c>
      <c r="C7" s="95" t="s">
        <v>33</v>
      </c>
      <c r="D7" s="95" t="s">
        <v>46</v>
      </c>
      <c r="E7" s="95" t="s">
        <v>47</v>
      </c>
      <c r="F7" s="95" t="str">
        <f>+VLOOKUP(A7,'Estado SCI'!$A$16:$I$59,9,0)</f>
        <v>Oportunidad de mejora</v>
      </c>
      <c r="G7" s="95">
        <f>+VLOOKUP(A7,'Estado SCI'!$A$16:$L$59,12,0)</f>
        <v>10.123456789</v>
      </c>
      <c r="H7" s="95">
        <f t="shared" si="0"/>
        <v>2</v>
      </c>
      <c r="I7" s="95" t="str">
        <f>+IF(VLOOKUP(A7,'Estado SCI'!$A$16:$G$59,7,0)="","",VLOOKUP(A7,'Estado SCI'!$A$16:$G$59,7,0))</f>
        <v>En proceso</v>
      </c>
      <c r="J7" s="96">
        <f t="shared" si="2"/>
        <v>0.5</v>
      </c>
      <c r="K7" s="97">
        <f t="shared" si="1"/>
        <v>0.875</v>
      </c>
    </row>
    <row r="8" spans="1:11" x14ac:dyDescent="0.25">
      <c r="A8" s="95" t="s">
        <v>149</v>
      </c>
      <c r="B8" s="95" t="s">
        <v>32</v>
      </c>
      <c r="C8" s="95" t="s">
        <v>33</v>
      </c>
      <c r="D8" s="95" t="s">
        <v>48</v>
      </c>
      <c r="E8" s="95" t="s">
        <v>49</v>
      </c>
      <c r="F8" s="95" t="str">
        <f>+VLOOKUP(A8,'Estado SCI'!$A$16:$I$59,9,0)</f>
        <v>Mantenimiento del control</v>
      </c>
      <c r="G8" s="95">
        <f>+VLOOKUP(A8,'Estado SCI'!$A$16:$L$59,12,0)</f>
        <v>20.1234567891</v>
      </c>
      <c r="H8" s="95">
        <f t="shared" si="0"/>
        <v>8</v>
      </c>
      <c r="I8" s="95" t="str">
        <f>+IF(VLOOKUP(A8,'Estado SCI'!$A$16:$G$59,7,0)="","",VLOOKUP(A8,'Estado SCI'!$A$16:$G$59,7,0))</f>
        <v>Si</v>
      </c>
      <c r="J8" s="96">
        <f t="shared" si="2"/>
        <v>1</v>
      </c>
      <c r="K8" s="97">
        <f t="shared" si="1"/>
        <v>0.875</v>
      </c>
    </row>
    <row r="9" spans="1:11" x14ac:dyDescent="0.25">
      <c r="A9" s="95" t="s">
        <v>150</v>
      </c>
      <c r="B9" s="95" t="s">
        <v>32</v>
      </c>
      <c r="C9" s="95" t="s">
        <v>33</v>
      </c>
      <c r="D9" s="95" t="s">
        <v>50</v>
      </c>
      <c r="E9" s="95" t="s">
        <v>51</v>
      </c>
      <c r="F9" s="95" t="str">
        <f>+VLOOKUP(A9,'Estado SCI'!$A$16:$I$59,9,0)</f>
        <v>Mantenimiento del control</v>
      </c>
      <c r="G9" s="95">
        <f>+VLOOKUP(A9,'Estado SCI'!$A$16:$L$59,12,0)</f>
        <v>20.123456789119999</v>
      </c>
      <c r="H9" s="95">
        <f t="shared" si="0"/>
        <v>9</v>
      </c>
      <c r="I9" s="95" t="str">
        <f>+IF(VLOOKUP(A9,'Estado SCI'!$A$16:$G$59,7,0)="","",VLOOKUP(A9,'Estado SCI'!$A$16:$G$59,7,0))</f>
        <v>Si</v>
      </c>
      <c r="J9" s="96">
        <f t="shared" si="2"/>
        <v>1</v>
      </c>
      <c r="K9" s="97">
        <f t="shared" si="1"/>
        <v>0.875</v>
      </c>
    </row>
    <row r="10" spans="1:11" x14ac:dyDescent="0.25">
      <c r="A10" s="95" t="s">
        <v>151</v>
      </c>
      <c r="B10" s="95" t="s">
        <v>32</v>
      </c>
      <c r="C10" s="95" t="s">
        <v>33</v>
      </c>
      <c r="D10" s="95" t="s">
        <v>52</v>
      </c>
      <c r="E10" s="95" t="s">
        <v>53</v>
      </c>
      <c r="F10" s="95" t="str">
        <f>+VLOOKUP(A10,'Estado SCI'!$A$16:$I$59,9,0)</f>
        <v>Mantenimiento del control</v>
      </c>
      <c r="G10" s="95">
        <f>+VLOOKUP(A10,'Estado SCI'!$A$16:$L$59,12,0)</f>
        <v>20.123456789123001</v>
      </c>
      <c r="H10" s="95">
        <f t="shared" si="0"/>
        <v>10</v>
      </c>
      <c r="I10" s="95" t="str">
        <f>+IF(VLOOKUP(A10,'Estado SCI'!$A$16:$G$59,7,0)="","",VLOOKUP(A10,'Estado SCI'!$A$16:$G$59,7,0))</f>
        <v>Si</v>
      </c>
      <c r="J10" s="96">
        <f t="shared" si="2"/>
        <v>1</v>
      </c>
      <c r="K10" s="97">
        <f t="shared" si="1"/>
        <v>0.875</v>
      </c>
    </row>
    <row r="11" spans="1:11" x14ac:dyDescent="0.25">
      <c r="A11" s="95" t="s">
        <v>152</v>
      </c>
      <c r="B11" s="95" t="s">
        <v>32</v>
      </c>
      <c r="C11" s="95" t="s">
        <v>33</v>
      </c>
      <c r="D11" s="95" t="s">
        <v>54</v>
      </c>
      <c r="E11" s="95" t="s">
        <v>55</v>
      </c>
      <c r="F11" s="95" t="str">
        <f>+VLOOKUP(A11,'Estado SCI'!$A$16:$I$59,9,0)</f>
        <v>Oportunidad de mejora</v>
      </c>
      <c r="G11" s="95">
        <f>+VLOOKUP(A11,'Estado SCI'!$A$16:$L$59,12,0)</f>
        <v>10.1234567891234</v>
      </c>
      <c r="H11" s="95">
        <f t="shared" si="0"/>
        <v>3</v>
      </c>
      <c r="I11" s="95" t="str">
        <f>+IF(VLOOKUP(A11,'Estado SCI'!$A$16:$G$59,7,0)="","",VLOOKUP(A11,'Estado SCI'!$A$16:$G$59,7,0))</f>
        <v>En proceso</v>
      </c>
      <c r="J11" s="96">
        <f t="shared" si="2"/>
        <v>0.5</v>
      </c>
      <c r="K11" s="97">
        <f t="shared" si="1"/>
        <v>0.875</v>
      </c>
    </row>
    <row r="12" spans="1:11" x14ac:dyDescent="0.25">
      <c r="A12" s="95" t="s">
        <v>153</v>
      </c>
      <c r="B12" s="95" t="s">
        <v>32</v>
      </c>
      <c r="C12" s="95" t="s">
        <v>33</v>
      </c>
      <c r="D12" s="95" t="s">
        <v>56</v>
      </c>
      <c r="E12" s="95" t="s">
        <v>57</v>
      </c>
      <c r="F12" s="95" t="str">
        <f>+VLOOKUP(A12,'Estado SCI'!$A$16:$I$59,9,0)</f>
        <v>Mantenimiento del control</v>
      </c>
      <c r="G12" s="95">
        <f>+VLOOKUP(A12,'Estado SCI'!$A$16:$L$59,12,0)</f>
        <v>20.123456789123448</v>
      </c>
      <c r="H12" s="95">
        <f t="shared" si="0"/>
        <v>11</v>
      </c>
      <c r="I12" s="95" t="str">
        <f>+IF(VLOOKUP(A12,'Estado SCI'!$A$16:$G$59,7,0)="","",VLOOKUP(A12,'Estado SCI'!$A$16:$G$59,7,0))</f>
        <v>Si</v>
      </c>
      <c r="J12" s="96">
        <f t="shared" si="2"/>
        <v>1</v>
      </c>
      <c r="K12" s="97">
        <f t="shared" si="1"/>
        <v>0.875</v>
      </c>
    </row>
    <row r="13" spans="1:11" x14ac:dyDescent="0.25">
      <c r="A13" s="95" t="s">
        <v>154</v>
      </c>
      <c r="B13" s="95" t="s">
        <v>32</v>
      </c>
      <c r="C13" s="95" t="s">
        <v>33</v>
      </c>
      <c r="D13" s="95" t="s">
        <v>58</v>
      </c>
      <c r="E13" s="95" t="s">
        <v>59</v>
      </c>
      <c r="F13" s="95" t="str">
        <f>+VLOOKUP(A13,'Estado SCI'!$A$16:$I$59,9,0)</f>
        <v>Mantenimiento del control</v>
      </c>
      <c r="G13" s="95">
        <f>+VLOOKUP(A13,'Estado SCI'!$A$16:$L$59,12,0)</f>
        <v>20.123456789123455</v>
      </c>
      <c r="H13" s="95">
        <f t="shared" si="0"/>
        <v>12</v>
      </c>
      <c r="I13" s="95" t="str">
        <f>+IF(VLOOKUP(A13,'Estado SCI'!$A$16:$G$59,7,0)="","",VLOOKUP(A13,'Estado SCI'!$A$16:$G$59,7,0))</f>
        <v>Si</v>
      </c>
      <c r="J13" s="96">
        <f t="shared" si="2"/>
        <v>1</v>
      </c>
      <c r="K13" s="97">
        <f t="shared" si="1"/>
        <v>0.875</v>
      </c>
    </row>
    <row r="14" spans="1:11" ht="15" customHeight="1" x14ac:dyDescent="0.25">
      <c r="A14" s="95" t="s">
        <v>155</v>
      </c>
      <c r="B14" s="95" t="str">
        <f>+VLOOKUP(A14,'Estado SCI'!$A$16:$C$59,3,0)</f>
        <v>EVALUACION DEL RIESGO</v>
      </c>
      <c r="C14" s="95" t="s">
        <v>62</v>
      </c>
      <c r="D14" s="95" t="s">
        <v>34</v>
      </c>
      <c r="E14" s="95" t="s">
        <v>156</v>
      </c>
      <c r="F14" s="95" t="str">
        <f>+VLOOKUP(A14,'Estado SCI'!$A$16:$I$59,9,0)</f>
        <v>Mantenimiento del control</v>
      </c>
      <c r="G14" s="95">
        <f>+VLOOKUP(A14,'Estado SCI'!$A$16:$L$59,12,0)</f>
        <v>40.229999999999997</v>
      </c>
      <c r="H14" s="95">
        <f t="shared" si="0"/>
        <v>13</v>
      </c>
      <c r="I14" s="95" t="str">
        <f>+IF(VLOOKUP(A14,'Estado SCI'!$A$16:$G$59,7,0)="","",VLOOKUP(A14,'Estado SCI'!$A$16:$G$59,7,0))</f>
        <v>Si</v>
      </c>
      <c r="J14" s="96">
        <f t="shared" si="2"/>
        <v>1</v>
      </c>
      <c r="K14" s="97">
        <f t="shared" si="1"/>
        <v>1</v>
      </c>
    </row>
    <row r="15" spans="1:11" ht="15" customHeight="1" x14ac:dyDescent="0.25">
      <c r="A15" s="95" t="s">
        <v>157</v>
      </c>
      <c r="B15" s="95" t="s">
        <v>61</v>
      </c>
      <c r="C15" s="95" t="s">
        <v>62</v>
      </c>
      <c r="D15" s="95" t="s">
        <v>37</v>
      </c>
      <c r="E15" s="95" t="s">
        <v>158</v>
      </c>
      <c r="F15" s="95" t="str">
        <f>+VLOOKUP(A15,'Estado SCI'!$A$16:$I$59,9,0)</f>
        <v>Mantenimiento del control</v>
      </c>
      <c r="G15" s="95">
        <f>+VLOOKUP(A15,'Estado SCI'!$A$16:$L$59,12,0)</f>
        <v>40.234000000000002</v>
      </c>
      <c r="H15" s="95">
        <f t="shared" si="0"/>
        <v>14</v>
      </c>
      <c r="I15" s="95" t="str">
        <f>+IF(VLOOKUP(A15,'Estado SCI'!$A$16:$G$59,7,0)="","",VLOOKUP(A15,'Estado SCI'!$A$16:$G$59,7,0))</f>
        <v>Si</v>
      </c>
      <c r="J15" s="96">
        <f t="shared" si="2"/>
        <v>1</v>
      </c>
      <c r="K15" s="97">
        <f t="shared" si="1"/>
        <v>1</v>
      </c>
    </row>
    <row r="16" spans="1:11" ht="15" customHeight="1" x14ac:dyDescent="0.25">
      <c r="A16" s="95" t="s">
        <v>159</v>
      </c>
      <c r="B16" s="95" t="s">
        <v>61</v>
      </c>
      <c r="C16" s="95" t="s">
        <v>62</v>
      </c>
      <c r="D16" s="95" t="s">
        <v>40</v>
      </c>
      <c r="E16" s="95" t="s">
        <v>160</v>
      </c>
      <c r="F16" s="95" t="str">
        <f>+VLOOKUP(A16,'Estado SCI'!$A$16:$I$59,9,0)</f>
        <v>Mantenimiento del control</v>
      </c>
      <c r="G16" s="95">
        <f>+VLOOKUP(A16,'Estado SCI'!$A$16:$L$59,12,0)</f>
        <v>40.234499999999997</v>
      </c>
      <c r="H16" s="95">
        <f t="shared" si="0"/>
        <v>15</v>
      </c>
      <c r="I16" s="95" t="str">
        <f>+IF(VLOOKUP(A16,'Estado SCI'!$A$16:$G$59,7,0)="","",VLOOKUP(A16,'Estado SCI'!$A$16:$G$59,7,0))</f>
        <v>Si</v>
      </c>
      <c r="J16" s="96">
        <f t="shared" si="2"/>
        <v>1</v>
      </c>
      <c r="K16" s="97">
        <f t="shared" si="1"/>
        <v>1</v>
      </c>
    </row>
    <row r="17" spans="1:11" ht="15.75" customHeight="1" x14ac:dyDescent="0.25">
      <c r="A17" s="95" t="s">
        <v>161</v>
      </c>
      <c r="B17" s="95" t="s">
        <v>61</v>
      </c>
      <c r="C17" s="95" t="s">
        <v>62</v>
      </c>
      <c r="D17" s="95" t="s">
        <v>42</v>
      </c>
      <c r="E17" s="95" t="s">
        <v>66</v>
      </c>
      <c r="F17" s="95" t="str">
        <f>+VLOOKUP(A17,'Estado SCI'!$A$16:$I$59,9,0)</f>
        <v>Mantenimiento del control</v>
      </c>
      <c r="G17" s="95">
        <f>+VLOOKUP(A17,'Estado SCI'!$A$16:$L$59,12,0)</f>
        <v>40.234560000000002</v>
      </c>
      <c r="H17" s="95">
        <f t="shared" si="0"/>
        <v>16</v>
      </c>
      <c r="I17" s="95" t="str">
        <f>+IF(VLOOKUP(A17,'Estado SCI'!$A$16:$G$59,7,0)="","",VLOOKUP(A17,'Estado SCI'!$A$16:$G$59,7,0))</f>
        <v>Si</v>
      </c>
      <c r="J17" s="96">
        <f t="shared" si="2"/>
        <v>1</v>
      </c>
      <c r="K17" s="97">
        <f t="shared" si="1"/>
        <v>1</v>
      </c>
    </row>
    <row r="18" spans="1:11" ht="15" customHeight="1" x14ac:dyDescent="0.25">
      <c r="A18" s="95" t="s">
        <v>162</v>
      </c>
      <c r="B18" s="95" t="s">
        <v>61</v>
      </c>
      <c r="C18" s="95" t="s">
        <v>80</v>
      </c>
      <c r="D18" s="95" t="s">
        <v>34</v>
      </c>
      <c r="E18" s="95" t="s">
        <v>69</v>
      </c>
      <c r="F18" s="95" t="str">
        <f>+VLOOKUP(A18,'Estado SCI'!$A$16:$I$59,9,0)</f>
        <v>Mantenimiento del control</v>
      </c>
      <c r="G18" s="95">
        <f>+VLOOKUP(A18,'Estado SCI'!$A$16:$L$59,12,0)</f>
        <v>40.234566999999998</v>
      </c>
      <c r="H18" s="95">
        <f t="shared" si="0"/>
        <v>17</v>
      </c>
      <c r="I18" s="95" t="str">
        <f>+IF(VLOOKUP(A18,'Estado SCI'!$A$16:$G$59,7,0)="","",VLOOKUP(A18,'Estado SCI'!$A$16:$G$59,7,0))</f>
        <v>Si</v>
      </c>
      <c r="J18" s="96">
        <f t="shared" si="2"/>
        <v>1</v>
      </c>
      <c r="K18" s="97">
        <f t="shared" si="1"/>
        <v>1</v>
      </c>
    </row>
    <row r="19" spans="1:11" ht="15" customHeight="1" x14ac:dyDescent="0.25">
      <c r="A19" s="95" t="s">
        <v>163</v>
      </c>
      <c r="B19" s="95" t="s">
        <v>61</v>
      </c>
      <c r="C19" s="95" t="s">
        <v>80</v>
      </c>
      <c r="D19" s="95" t="s">
        <v>37</v>
      </c>
      <c r="E19" s="95" t="s">
        <v>70</v>
      </c>
      <c r="F19" s="95" t="str">
        <f>+VLOOKUP(A19,'Estado SCI'!$A$16:$I$59,9,0)</f>
        <v>Mantenimiento del control</v>
      </c>
      <c r="G19" s="95">
        <f>+VLOOKUP(A19,'Estado SCI'!$A$16:$L$59,12,0)</f>
        <v>40.234567800000001</v>
      </c>
      <c r="H19" s="95">
        <f t="shared" si="0"/>
        <v>18</v>
      </c>
      <c r="I19" s="95" t="str">
        <f>+IF(VLOOKUP(A19,'Estado SCI'!$A$16:$G$59,7,0)="","",VLOOKUP(A19,'Estado SCI'!$A$16:$G$59,7,0))</f>
        <v>Si</v>
      </c>
      <c r="J19" s="96">
        <f t="shared" si="2"/>
        <v>1</v>
      </c>
      <c r="K19" s="97">
        <f t="shared" si="1"/>
        <v>1</v>
      </c>
    </row>
    <row r="20" spans="1:11" ht="15" customHeight="1" x14ac:dyDescent="0.25">
      <c r="A20" s="95" t="s">
        <v>164</v>
      </c>
      <c r="B20" s="95" t="s">
        <v>61</v>
      </c>
      <c r="C20" s="95" t="s">
        <v>80</v>
      </c>
      <c r="D20" s="95" t="s">
        <v>40</v>
      </c>
      <c r="E20" s="95" t="s">
        <v>71</v>
      </c>
      <c r="F20" s="95" t="str">
        <f>+VLOOKUP(A20,'Estado SCI'!$A$16:$I$59,9,0)</f>
        <v>Mantenimiento del control</v>
      </c>
      <c r="G20" s="95">
        <f>+VLOOKUP(A20,'Estado SCI'!$A$16:$L$59,12,0)</f>
        <v>40.234567890000001</v>
      </c>
      <c r="H20" s="95">
        <f t="shared" si="0"/>
        <v>19</v>
      </c>
      <c r="I20" s="95" t="str">
        <f>+IF(VLOOKUP(A20,'Estado SCI'!$A$16:$G$59,7,0)="","",VLOOKUP(A20,'Estado SCI'!$A$16:$G$59,7,0))</f>
        <v>Si</v>
      </c>
      <c r="J20" s="96">
        <f t="shared" si="2"/>
        <v>1</v>
      </c>
      <c r="K20" s="97">
        <f t="shared" si="1"/>
        <v>1</v>
      </c>
    </row>
    <row r="21" spans="1:11" ht="15.75" customHeight="1" x14ac:dyDescent="0.25">
      <c r="A21" s="95" t="s">
        <v>165</v>
      </c>
      <c r="B21" s="95" t="s">
        <v>61</v>
      </c>
      <c r="C21" s="95" t="s">
        <v>80</v>
      </c>
      <c r="D21" s="95" t="s">
        <v>34</v>
      </c>
      <c r="E21" s="95" t="s">
        <v>74</v>
      </c>
      <c r="F21" s="95" t="str">
        <f>+VLOOKUP(A21,'Estado SCI'!$A$16:$I$59,9,0)</f>
        <v>Mantenimiento del control</v>
      </c>
      <c r="G21" s="95">
        <f>+VLOOKUP(A21,'Estado SCI'!$A$16:$L$59,12,0)</f>
        <v>40.234567891200001</v>
      </c>
      <c r="H21" s="95">
        <f t="shared" si="0"/>
        <v>20</v>
      </c>
      <c r="I21" s="95" t="str">
        <f>+IF(VLOOKUP(A21,'Estado SCI'!$A$16:$G$59,7,0)="","",VLOOKUP(A21,'Estado SCI'!$A$16:$G$59,7,0))</f>
        <v>Si</v>
      </c>
      <c r="J21" s="96">
        <f t="shared" si="2"/>
        <v>1</v>
      </c>
      <c r="K21" s="97">
        <f t="shared" si="1"/>
        <v>1</v>
      </c>
    </row>
    <row r="22" spans="1:11" ht="15" customHeight="1" x14ac:dyDescent="0.25">
      <c r="A22" s="95" t="s">
        <v>166</v>
      </c>
      <c r="B22" s="95" t="s">
        <v>61</v>
      </c>
      <c r="C22" s="95" t="s">
        <v>88</v>
      </c>
      <c r="D22" s="95" t="s">
        <v>37</v>
      </c>
      <c r="E22" s="95" t="s">
        <v>75</v>
      </c>
      <c r="F22" s="95" t="str">
        <f>+VLOOKUP(A22,'Estado SCI'!$A$16:$I$59,9,0)</f>
        <v>Mantenimiento del control</v>
      </c>
      <c r="G22" s="95">
        <f>+VLOOKUP(A22,'Estado SCI'!$A$16:$L$59,12,0)</f>
        <v>40.23456789123</v>
      </c>
      <c r="H22" s="95">
        <f t="shared" si="0"/>
        <v>21</v>
      </c>
      <c r="I22" s="95" t="str">
        <f>+IF(VLOOKUP(A22,'Estado SCI'!$A$16:$G$59,7,0)="","",VLOOKUP(A22,'Estado SCI'!$A$16:$G$59,7,0))</f>
        <v>Si</v>
      </c>
      <c r="J22" s="96">
        <f t="shared" si="2"/>
        <v>1</v>
      </c>
      <c r="K22" s="97">
        <f t="shared" si="1"/>
        <v>1</v>
      </c>
    </row>
    <row r="23" spans="1:11" ht="15" customHeight="1" x14ac:dyDescent="0.25">
      <c r="A23" s="95" t="s">
        <v>167</v>
      </c>
      <c r="B23" s="95" t="s">
        <v>61</v>
      </c>
      <c r="C23" s="95" t="s">
        <v>88</v>
      </c>
      <c r="D23" s="95" t="s">
        <v>40</v>
      </c>
      <c r="E23" s="95" t="s">
        <v>77</v>
      </c>
      <c r="F23" s="95" t="str">
        <f>+VLOOKUP(A23,'Estado SCI'!$A$16:$I$59,9,0)</f>
        <v>Mantenimiento del control</v>
      </c>
      <c r="G23" s="95">
        <f>+VLOOKUP(A23,'Estado SCI'!$A$16:$L$59,12,0)</f>
        <v>40.234567891234001</v>
      </c>
      <c r="H23" s="95">
        <f t="shared" si="0"/>
        <v>22</v>
      </c>
      <c r="I23" s="95" t="str">
        <f>+IF(VLOOKUP(A23,'Estado SCI'!$A$16:$G$59,7,0)="","",VLOOKUP(A23,'Estado SCI'!$A$16:$G$59,7,0))</f>
        <v>Si</v>
      </c>
      <c r="J23" s="96">
        <f t="shared" si="2"/>
        <v>1</v>
      </c>
      <c r="K23" s="97">
        <f t="shared" si="1"/>
        <v>1</v>
      </c>
    </row>
    <row r="24" spans="1:11" ht="15" customHeight="1" x14ac:dyDescent="0.25">
      <c r="A24" s="95" t="s">
        <v>168</v>
      </c>
      <c r="B24" s="95" t="str">
        <f>+VLOOKUP(A24,'Estado SCI'!$A$16:$C$59,3,0)</f>
        <v>ACTIVIDADES DE CONTROL</v>
      </c>
      <c r="C24" s="95" t="s">
        <v>88</v>
      </c>
      <c r="D24" s="95" t="s">
        <v>34</v>
      </c>
      <c r="E24" s="95" t="s">
        <v>81</v>
      </c>
      <c r="F24" s="95" t="str">
        <f>+VLOOKUP(A24,'Estado SCI'!$A$16:$I$59,9,0)</f>
        <v>Mantenimiento del control</v>
      </c>
      <c r="G24" s="95">
        <f>+VLOOKUP(A24,'Estado SCI'!$A$16:$L$59,12,0)</f>
        <v>60.31</v>
      </c>
      <c r="H24" s="95">
        <f t="shared" si="0"/>
        <v>23</v>
      </c>
      <c r="I24" s="95" t="str">
        <f>+IF(VLOOKUP(A24,'Estado SCI'!$A$16:$G$59,7,0)="","",VLOOKUP(A24,'Estado SCI'!$A$16:$G$59,7,0))</f>
        <v>Si</v>
      </c>
      <c r="J24" s="96">
        <f t="shared" si="2"/>
        <v>1</v>
      </c>
      <c r="K24" s="97">
        <f t="shared" si="1"/>
        <v>1</v>
      </c>
    </row>
    <row r="25" spans="1:11" ht="15" customHeight="1" x14ac:dyDescent="0.25">
      <c r="A25" s="95" t="s">
        <v>169</v>
      </c>
      <c r="B25" s="95" t="s">
        <v>79</v>
      </c>
      <c r="C25" s="95" t="s">
        <v>88</v>
      </c>
      <c r="D25" s="95" t="s">
        <v>37</v>
      </c>
      <c r="E25" s="95" t="s">
        <v>82</v>
      </c>
      <c r="F25" s="95" t="str">
        <f>+VLOOKUP(A25,'Estado SCI'!$A$16:$I$59,9,0)</f>
        <v>Mantenimiento del control</v>
      </c>
      <c r="G25" s="95">
        <f>+VLOOKUP(A25,'Estado SCI'!$A$16:$L$59,12,0)</f>
        <v>60.323</v>
      </c>
      <c r="H25" s="95">
        <f t="shared" si="0"/>
        <v>24</v>
      </c>
      <c r="I25" s="95" t="str">
        <f>+IF(VLOOKUP(A25,'Estado SCI'!$A$16:$G$59,7,0)="","",VLOOKUP(A25,'Estado SCI'!$A$16:$G$59,7,0))</f>
        <v>Si</v>
      </c>
      <c r="J25" s="96">
        <f t="shared" si="2"/>
        <v>1</v>
      </c>
      <c r="K25" s="97">
        <f t="shared" si="1"/>
        <v>1</v>
      </c>
    </row>
    <row r="26" spans="1:11" ht="15" customHeight="1" x14ac:dyDescent="0.25">
      <c r="A26" s="95" t="s">
        <v>170</v>
      </c>
      <c r="B26" s="95" t="s">
        <v>79</v>
      </c>
      <c r="C26" s="95" t="s">
        <v>88</v>
      </c>
      <c r="D26" s="95" t="s">
        <v>40</v>
      </c>
      <c r="E26" s="95" t="s">
        <v>83</v>
      </c>
      <c r="F26" s="95" t="str">
        <f>+VLOOKUP(A26,'Estado SCI'!$A$16:$I$59,9,0)</f>
        <v>Mantenimiento del control</v>
      </c>
      <c r="G26" s="95">
        <f>+VLOOKUP(A26,'Estado SCI'!$A$16:$L$59,12,0)</f>
        <v>60.323999999999998</v>
      </c>
      <c r="H26" s="95">
        <f t="shared" si="0"/>
        <v>25</v>
      </c>
      <c r="I26" s="95" t="str">
        <f>+IF(VLOOKUP(A26,'Estado SCI'!$A$16:$G$59,7,0)="","",VLOOKUP(A26,'Estado SCI'!$A$16:$G$59,7,0))</f>
        <v>Si</v>
      </c>
      <c r="J26" s="96">
        <f t="shared" si="2"/>
        <v>1</v>
      </c>
      <c r="K26" s="97">
        <f t="shared" si="1"/>
        <v>1</v>
      </c>
    </row>
    <row r="27" spans="1:11" ht="15.75" customHeight="1" x14ac:dyDescent="0.25">
      <c r="A27" s="95" t="s">
        <v>171</v>
      </c>
      <c r="B27" s="95" t="s">
        <v>79</v>
      </c>
      <c r="C27" s="95" t="s">
        <v>88</v>
      </c>
      <c r="D27" s="95" t="s">
        <v>42</v>
      </c>
      <c r="E27" s="95" t="s">
        <v>84</v>
      </c>
      <c r="F27" s="95" t="str">
        <f>+VLOOKUP(A27,'Estado SCI'!$A$16:$I$59,9,0)</f>
        <v>Mantenimiento del control</v>
      </c>
      <c r="G27" s="95">
        <f>+VLOOKUP(A27,'Estado SCI'!$A$16:$L$59,12,0)</f>
        <v>60.325000000000003</v>
      </c>
      <c r="H27" s="95">
        <f t="shared" si="0"/>
        <v>26</v>
      </c>
      <c r="I27" s="95" t="str">
        <f>+IF(VLOOKUP(A27,'Estado SCI'!$A$16:$G$59,7,0)="","",VLOOKUP(A27,'Estado SCI'!$A$16:$G$59,7,0))</f>
        <v>Si</v>
      </c>
      <c r="J27" s="96">
        <f t="shared" si="2"/>
        <v>1</v>
      </c>
      <c r="K27" s="97">
        <f t="shared" si="1"/>
        <v>1</v>
      </c>
    </row>
    <row r="28" spans="1:11" ht="15" customHeight="1" x14ac:dyDescent="0.25">
      <c r="A28" s="95" t="s">
        <v>172</v>
      </c>
      <c r="B28" s="95" t="s">
        <v>79</v>
      </c>
      <c r="C28" s="95" t="s">
        <v>98</v>
      </c>
      <c r="D28" s="95" t="s">
        <v>44</v>
      </c>
      <c r="E28" s="95" t="s">
        <v>85</v>
      </c>
      <c r="F28" s="95" t="str">
        <f>+VLOOKUP(A28,'Estado SCI'!$A$16:$I$59,9,0)</f>
        <v>Mantenimiento del control</v>
      </c>
      <c r="G28" s="95">
        <f>+VLOOKUP(A28,'Estado SCI'!$A$16:$L$59,12,0)</f>
        <v>60.326000000000001</v>
      </c>
      <c r="H28" s="95">
        <f t="shared" si="0"/>
        <v>27</v>
      </c>
      <c r="I28" s="95" t="str">
        <f>+IF(VLOOKUP(A28,'Estado SCI'!$A$16:$G$59,7,0)="","",VLOOKUP(A28,'Estado SCI'!$A$16:$G$59,7,0))</f>
        <v>Si</v>
      </c>
      <c r="J28" s="96">
        <f t="shared" si="2"/>
        <v>1</v>
      </c>
      <c r="K28" s="97">
        <f t="shared" si="1"/>
        <v>1</v>
      </c>
    </row>
    <row r="29" spans="1:11" ht="15" customHeight="1" x14ac:dyDescent="0.25">
      <c r="A29" s="95" t="s">
        <v>173</v>
      </c>
      <c r="B29" s="95" t="str">
        <f>+VLOOKUP(A29,'Estado SCI'!$A$16:$C$59,3,0)</f>
        <v>INFORMACION Y COMUNICACIÓN</v>
      </c>
      <c r="C29" s="95" t="s">
        <v>98</v>
      </c>
      <c r="D29" s="95" t="s">
        <v>34</v>
      </c>
      <c r="E29" s="95" t="s">
        <v>89</v>
      </c>
      <c r="F29" s="95" t="str">
        <f>+VLOOKUP(A29,'Estado SCI'!$A$16:$I$59,9,0)</f>
        <v>Mantenimiento del control</v>
      </c>
      <c r="G29" s="95">
        <f>+VLOOKUP(A29,'Estado SCI'!$A$16:$L$59,12,0)</f>
        <v>80.412000000000006</v>
      </c>
      <c r="H29" s="95">
        <f t="shared" si="0"/>
        <v>28</v>
      </c>
      <c r="I29" s="95" t="str">
        <f>+IF(VLOOKUP(A29,'Estado SCI'!$A$16:$G$59,7,0)="","",VLOOKUP(A29,'Estado SCI'!$A$16:$G$59,7,0))</f>
        <v>Si</v>
      </c>
      <c r="J29" s="96">
        <f t="shared" si="2"/>
        <v>1</v>
      </c>
      <c r="K29" s="97">
        <f t="shared" si="1"/>
        <v>1</v>
      </c>
    </row>
    <row r="30" spans="1:11" ht="15" customHeight="1" x14ac:dyDescent="0.25">
      <c r="A30" s="95" t="s">
        <v>174</v>
      </c>
      <c r="B30" s="95" t="s">
        <v>87</v>
      </c>
      <c r="C30" s="95" t="s">
        <v>98</v>
      </c>
      <c r="D30" s="95" t="s">
        <v>37</v>
      </c>
      <c r="E30" s="95" t="s">
        <v>90</v>
      </c>
      <c r="F30" s="95" t="str">
        <f>+VLOOKUP(A30,'Estado SCI'!$A$16:$I$59,9,0)</f>
        <v>Mantenimiento del control</v>
      </c>
      <c r="G30" s="95">
        <f>+VLOOKUP(A30,'Estado SCI'!$A$16:$L$59,12,0)</f>
        <v>80.412300000000002</v>
      </c>
      <c r="H30" s="95">
        <f t="shared" si="0"/>
        <v>29</v>
      </c>
      <c r="I30" s="95" t="str">
        <f>+IF(VLOOKUP(A30,'Estado SCI'!$A$16:$G$59,7,0)="","",VLOOKUP(A30,'Estado SCI'!$A$16:$G$59,7,0))</f>
        <v>Si</v>
      </c>
      <c r="J30" s="96">
        <f t="shared" si="2"/>
        <v>1</v>
      </c>
      <c r="K30" s="97">
        <f t="shared" si="1"/>
        <v>1</v>
      </c>
    </row>
    <row r="31" spans="1:11" ht="15.75" customHeight="1" x14ac:dyDescent="0.25">
      <c r="A31" s="95" t="s">
        <v>175</v>
      </c>
      <c r="B31" s="95" t="s">
        <v>87</v>
      </c>
      <c r="C31" s="95" t="s">
        <v>98</v>
      </c>
      <c r="D31" s="95" t="s">
        <v>40</v>
      </c>
      <c r="E31" s="95" t="s">
        <v>91</v>
      </c>
      <c r="F31" s="95" t="str">
        <f>+VLOOKUP(A31,'Estado SCI'!$A$16:$I$59,9,0)</f>
        <v>Mantenimiento del control</v>
      </c>
      <c r="G31" s="95">
        <f>+VLOOKUP(A31,'Estado SCI'!$A$16:$L$59,12,0)</f>
        <v>80.41234</v>
      </c>
      <c r="H31" s="95">
        <f t="shared" si="0"/>
        <v>30</v>
      </c>
      <c r="I31" s="95" t="str">
        <f>+IF(VLOOKUP(A31,'Estado SCI'!$A$16:$G$59,7,0)="","",VLOOKUP(A31,'Estado SCI'!$A$16:$G$59,7,0))</f>
        <v>Si</v>
      </c>
      <c r="J31" s="96">
        <f t="shared" si="2"/>
        <v>1</v>
      </c>
      <c r="K31" s="97">
        <f t="shared" si="1"/>
        <v>1</v>
      </c>
    </row>
    <row r="32" spans="1:11" x14ac:dyDescent="0.25">
      <c r="A32" s="95" t="s">
        <v>176</v>
      </c>
      <c r="B32" s="95" t="s">
        <v>87</v>
      </c>
      <c r="C32" s="95" t="s">
        <v>104</v>
      </c>
      <c r="D32" s="95" t="s">
        <v>42</v>
      </c>
      <c r="E32" s="95" t="s">
        <v>92</v>
      </c>
      <c r="F32" s="95" t="str">
        <f>+VLOOKUP(A32,'Estado SCI'!$A$16:$I$59,9,0)</f>
        <v>Mantenimiento del control</v>
      </c>
      <c r="G32" s="95">
        <f>+VLOOKUP(A32,'Estado SCI'!$A$16:$L$59,12,0)</f>
        <v>80.412345000000002</v>
      </c>
      <c r="H32" s="95">
        <f t="shared" si="0"/>
        <v>31</v>
      </c>
      <c r="I32" s="95" t="str">
        <f>+IF(VLOOKUP(A32,'Estado SCI'!$A$16:$G$59,7,0)="","",VLOOKUP(A32,'Estado SCI'!$A$16:$G$59,7,0))</f>
        <v>Si</v>
      </c>
      <c r="J32" s="96">
        <f t="shared" si="2"/>
        <v>1</v>
      </c>
      <c r="K32" s="97">
        <f t="shared" si="1"/>
        <v>1</v>
      </c>
    </row>
    <row r="33" spans="1:11" x14ac:dyDescent="0.25">
      <c r="A33" s="95" t="s">
        <v>177</v>
      </c>
      <c r="B33" s="95" t="s">
        <v>87</v>
      </c>
      <c r="C33" s="95" t="s">
        <v>178</v>
      </c>
      <c r="D33" s="95" t="s">
        <v>44</v>
      </c>
      <c r="E33" s="95" t="s">
        <v>93</v>
      </c>
      <c r="F33" s="95" t="str">
        <f>+VLOOKUP(A33,'Estado SCI'!$A$16:$I$59,9,0)</f>
        <v>Mantenimiento del control</v>
      </c>
      <c r="G33" s="95">
        <f>+VLOOKUP(A33,'Estado SCI'!$A$16:$L$59,12,0)</f>
        <v>80.412345599999995</v>
      </c>
      <c r="H33" s="95">
        <f t="shared" si="0"/>
        <v>32</v>
      </c>
      <c r="I33" s="95" t="str">
        <f>+IF(VLOOKUP(A33,'Estado SCI'!$A$16:$G$59,7,0)="","",VLOOKUP(A33,'Estado SCI'!$A$16:$G$59,7,0))</f>
        <v>Si</v>
      </c>
      <c r="J33" s="96">
        <f t="shared" si="2"/>
        <v>1</v>
      </c>
      <c r="K33" s="97">
        <f t="shared" si="1"/>
        <v>1</v>
      </c>
    </row>
    <row r="34" spans="1:11" x14ac:dyDescent="0.25">
      <c r="A34" s="95" t="s">
        <v>179</v>
      </c>
      <c r="B34" s="95" t="s">
        <v>87</v>
      </c>
      <c r="C34" s="95" t="s">
        <v>178</v>
      </c>
      <c r="D34" s="95" t="s">
        <v>46</v>
      </c>
      <c r="E34" s="95" t="s">
        <v>94</v>
      </c>
      <c r="F34" s="95" t="str">
        <f>+VLOOKUP(A34,'Estado SCI'!$A$16:$I$59,9,0)</f>
        <v>Mantenimiento del control</v>
      </c>
      <c r="G34" s="95">
        <f>+VLOOKUP(A34,'Estado SCI'!$A$16:$L$59,12,0)</f>
        <v>80.412345669999993</v>
      </c>
      <c r="H34" s="95">
        <f t="shared" si="0"/>
        <v>33</v>
      </c>
      <c r="I34" s="95" t="str">
        <f>+IF(VLOOKUP(A34,'Estado SCI'!$A$16:$G$59,7,0)="","",VLOOKUP(A34,'Estado SCI'!$A$16:$G$59,7,0))</f>
        <v>Si</v>
      </c>
      <c r="J34" s="96">
        <f t="shared" si="2"/>
        <v>1</v>
      </c>
      <c r="K34" s="97">
        <f t="shared" si="1"/>
        <v>1</v>
      </c>
    </row>
    <row r="35" spans="1:11" x14ac:dyDescent="0.25">
      <c r="A35" s="95" t="s">
        <v>180</v>
      </c>
      <c r="B35" s="95" t="s">
        <v>87</v>
      </c>
      <c r="C35" s="95" t="s">
        <v>178</v>
      </c>
      <c r="D35" s="95" t="s">
        <v>48</v>
      </c>
      <c r="E35" s="95" t="s">
        <v>95</v>
      </c>
      <c r="F35" s="95" t="str">
        <f>+VLOOKUP(A35,'Estado SCI'!$A$16:$I$59,9,0)</f>
        <v>Mantenimiento del control</v>
      </c>
      <c r="G35" s="95">
        <f>+VLOOKUP(A35,'Estado SCI'!$A$16:$L$59,12,0)</f>
        <v>80.412345677999994</v>
      </c>
      <c r="H35" s="95">
        <f t="shared" si="0"/>
        <v>34</v>
      </c>
      <c r="I35" s="95" t="str">
        <f>+IF(VLOOKUP(A35,'Estado SCI'!$A$16:$G$59,7,0)="","",VLOOKUP(A35,'Estado SCI'!$A$16:$G$59,7,0))</f>
        <v>Si</v>
      </c>
      <c r="J35" s="96">
        <f t="shared" si="2"/>
        <v>1</v>
      </c>
      <c r="K35" s="97">
        <f t="shared" si="1"/>
        <v>1</v>
      </c>
    </row>
    <row r="36" spans="1:11" x14ac:dyDescent="0.25">
      <c r="A36" s="95" t="s">
        <v>181</v>
      </c>
      <c r="B36" s="95" t="str">
        <f>+VLOOKUP(A36,'Estado SCI'!$A$16:$C$59,3,0)</f>
        <v>ACTIVIDADES DE MONITOREO</v>
      </c>
      <c r="C36" s="95" t="s">
        <v>178</v>
      </c>
      <c r="D36" s="95" t="s">
        <v>34</v>
      </c>
      <c r="E36" s="95" t="s">
        <v>99</v>
      </c>
      <c r="F36" s="95" t="str">
        <f>+VLOOKUP(A36,'Estado SCI'!$A$16:$I$59,9,0)</f>
        <v>Mantenimiento del control</v>
      </c>
      <c r="G36" s="95">
        <f>+VLOOKUP(A36,'Estado SCI'!$A$16:$L$59,12,0)</f>
        <v>120.851</v>
      </c>
      <c r="H36" s="95">
        <f t="shared" si="0"/>
        <v>36</v>
      </c>
      <c r="I36" s="95" t="str">
        <f>+IF(VLOOKUP(A36,'Estado SCI'!$A$16:$G$59,7,0)="","",VLOOKUP(A36,'Estado SCI'!$A$16:$G$59,7,0))</f>
        <v>Si</v>
      </c>
      <c r="J36" s="96">
        <f t="shared" si="2"/>
        <v>1</v>
      </c>
      <c r="K36" s="97">
        <f t="shared" si="1"/>
        <v>0.9</v>
      </c>
    </row>
    <row r="37" spans="1:11" x14ac:dyDescent="0.25">
      <c r="A37" s="95" t="s">
        <v>182</v>
      </c>
      <c r="B37" s="95" t="s">
        <v>97</v>
      </c>
      <c r="C37" s="95" t="s">
        <v>178</v>
      </c>
      <c r="D37" s="95" t="s">
        <v>42</v>
      </c>
      <c r="E37" s="95" t="s">
        <v>100</v>
      </c>
      <c r="F37" s="95" t="str">
        <f>+VLOOKUP(A37,'Estado SCI'!$A$16:$I$59,9,0)</f>
        <v>Mantenimiento del control</v>
      </c>
      <c r="G37" s="95">
        <f>+VLOOKUP(A37,'Estado SCI'!$A$16:$L$59,12,0)</f>
        <v>120.85120000000001</v>
      </c>
      <c r="H37" s="95">
        <f t="shared" si="0"/>
        <v>37</v>
      </c>
      <c r="I37" s="95" t="str">
        <f>+IF(VLOOKUP(A37,'Estado SCI'!$A$16:$G$59,7,0)="","",VLOOKUP(A37,'Estado SCI'!$A$16:$G$59,7,0))</f>
        <v>Si</v>
      </c>
      <c r="J37" s="96">
        <f t="shared" si="2"/>
        <v>1</v>
      </c>
      <c r="K37" s="97">
        <f t="shared" si="1"/>
        <v>0.9</v>
      </c>
    </row>
    <row r="38" spans="1:11" x14ac:dyDescent="0.25">
      <c r="A38" s="95" t="s">
        <v>183</v>
      </c>
      <c r="B38" s="95" t="s">
        <v>97</v>
      </c>
      <c r="C38" s="95" t="s">
        <v>68</v>
      </c>
      <c r="D38" s="95" t="s">
        <v>46</v>
      </c>
      <c r="E38" s="95" t="s">
        <v>101</v>
      </c>
      <c r="F38" s="95" t="str">
        <f>+VLOOKUP(A38,'Estado SCI'!$A$16:$I$59,9,0)</f>
        <v>Mantenimiento del control</v>
      </c>
      <c r="G38" s="95">
        <f>+VLOOKUP(A38,'Estado SCI'!$A$16:$L$59,12,0)</f>
        <v>120.85123</v>
      </c>
      <c r="H38" s="95">
        <f t="shared" si="0"/>
        <v>38</v>
      </c>
      <c r="I38" s="95" t="str">
        <f>+IF(VLOOKUP(A38,'Estado SCI'!$A$16:$G$59,7,0)="","",VLOOKUP(A38,'Estado SCI'!$A$16:$G$59,7,0))</f>
        <v>Si</v>
      </c>
      <c r="J38" s="96">
        <f t="shared" si="2"/>
        <v>1</v>
      </c>
      <c r="K38" s="97">
        <f t="shared" si="1"/>
        <v>0.9</v>
      </c>
    </row>
    <row r="39" spans="1:11" x14ac:dyDescent="0.25">
      <c r="A39" s="95" t="s">
        <v>184</v>
      </c>
      <c r="B39" s="95" t="s">
        <v>97</v>
      </c>
      <c r="C39" s="95" t="s">
        <v>68</v>
      </c>
      <c r="D39" s="95" t="s">
        <v>48</v>
      </c>
      <c r="E39" s="95" t="s">
        <v>102</v>
      </c>
      <c r="F39" s="95" t="str">
        <f>+VLOOKUP(A39,'Estado SCI'!$A$16:$I$59,9,0)</f>
        <v>Mantenimiento del control</v>
      </c>
      <c r="G39" s="95">
        <f>+VLOOKUP(A39,'Estado SCI'!$A$16:$L$59,12,0)</f>
        <v>120.85123400000001</v>
      </c>
      <c r="H39" s="95">
        <f t="shared" si="0"/>
        <v>39</v>
      </c>
      <c r="I39" s="95" t="str">
        <f>+IF(VLOOKUP(A39,'Estado SCI'!$A$16:$G$59,7,0)="","",VLOOKUP(A39,'Estado SCI'!$A$16:$G$59,7,0))</f>
        <v>Si</v>
      </c>
      <c r="J39" s="96">
        <f t="shared" si="2"/>
        <v>1</v>
      </c>
      <c r="K39" s="97">
        <f t="shared" si="1"/>
        <v>0.9</v>
      </c>
    </row>
    <row r="40" spans="1:11" x14ac:dyDescent="0.25">
      <c r="A40" s="95" t="s">
        <v>185</v>
      </c>
      <c r="B40" s="95" t="s">
        <v>97</v>
      </c>
      <c r="C40" s="95" t="s">
        <v>68</v>
      </c>
      <c r="D40" s="95" t="s">
        <v>50</v>
      </c>
      <c r="E40" s="95" t="s">
        <v>105</v>
      </c>
      <c r="F40" s="95" t="str">
        <f>+VLOOKUP(A40,'Estado SCI'!$A$16:$I$59,9,0)</f>
        <v>Deficiencia de control</v>
      </c>
      <c r="G40" s="95">
        <f>+VLOOKUP(A40,'Estado SCI'!$A$16:$L$59,12,0)</f>
        <v>80.851234500000004</v>
      </c>
      <c r="H40" s="95">
        <f t="shared" si="0"/>
        <v>35</v>
      </c>
      <c r="I40" s="95" t="str">
        <f>+IF(VLOOKUP(A40,'Estado SCI'!$A$16:$G$59,7,0)="","",VLOOKUP(A40,'Estado SCI'!$A$16:$G$59,7,0))</f>
        <v>No</v>
      </c>
      <c r="J40" s="96">
        <f t="shared" si="2"/>
        <v>0</v>
      </c>
      <c r="K40" s="97">
        <f t="shared" si="1"/>
        <v>0.9</v>
      </c>
    </row>
    <row r="41" spans="1:11" x14ac:dyDescent="0.25">
      <c r="A41" s="95" t="s">
        <v>186</v>
      </c>
      <c r="B41" s="95" t="s">
        <v>97</v>
      </c>
      <c r="C41" s="95" t="s">
        <v>68</v>
      </c>
      <c r="D41" s="95" t="s">
        <v>34</v>
      </c>
      <c r="E41" s="95" t="s">
        <v>108</v>
      </c>
      <c r="F41" s="95" t="str">
        <f>+VLOOKUP(A41,'Estado SCI'!$A$16:$I$59,9,0)</f>
        <v>Mantenimiento del control</v>
      </c>
      <c r="G41" s="95">
        <f>+VLOOKUP(A41,'Estado SCI'!$A$16:$L$59,12,0)</f>
        <v>120.85123455999999</v>
      </c>
      <c r="H41" s="95">
        <f t="shared" si="0"/>
        <v>40</v>
      </c>
      <c r="I41" s="95" t="str">
        <f>+IF(VLOOKUP(A41,'Estado SCI'!$A$16:$G$59,7,0)="","",VLOOKUP(A41,'Estado SCI'!$A$16:$G$59,7,0))</f>
        <v>Si</v>
      </c>
      <c r="J41" s="96">
        <f t="shared" si="2"/>
        <v>1</v>
      </c>
      <c r="K41" s="97">
        <f t="shared" si="1"/>
        <v>0.9</v>
      </c>
    </row>
    <row r="42" spans="1:11" x14ac:dyDescent="0.25">
      <c r="A42" s="95" t="s">
        <v>187</v>
      </c>
      <c r="B42" s="95" t="s">
        <v>97</v>
      </c>
      <c r="C42" s="95" t="s">
        <v>73</v>
      </c>
      <c r="D42" s="95" t="s">
        <v>37</v>
      </c>
      <c r="E42" s="95" t="s">
        <v>109</v>
      </c>
      <c r="F42" s="95" t="str">
        <f>+VLOOKUP(A42,'Estado SCI'!$A$16:$I$59,9,0)</f>
        <v>Mantenimiento del control</v>
      </c>
      <c r="G42" s="95">
        <f>+VLOOKUP(A42,'Estado SCI'!$A$16:$L$59,12,0)</f>
        <v>120.85123456700001</v>
      </c>
      <c r="H42" s="95">
        <f t="shared" si="0"/>
        <v>41</v>
      </c>
      <c r="I42" s="95" t="str">
        <f>+IF(VLOOKUP(A42,'Estado SCI'!$A$16:$G$59,7,0)="","",VLOOKUP(A42,'Estado SCI'!$A$16:$G$59,7,0))</f>
        <v>Si</v>
      </c>
      <c r="J42" s="96">
        <f t="shared" si="2"/>
        <v>1</v>
      </c>
      <c r="K42" s="97">
        <f t="shared" si="1"/>
        <v>0.9</v>
      </c>
    </row>
    <row r="43" spans="1:11" x14ac:dyDescent="0.25">
      <c r="A43" s="95" t="s">
        <v>188</v>
      </c>
      <c r="B43" s="95" t="s">
        <v>97</v>
      </c>
      <c r="C43" s="95" t="s">
        <v>73</v>
      </c>
      <c r="D43" s="95" t="s">
        <v>40</v>
      </c>
      <c r="E43" s="95" t="s">
        <v>110</v>
      </c>
      <c r="F43" s="95" t="str">
        <f>+VLOOKUP(A43,'Estado SCI'!$A$16:$I$59,9,0)</f>
        <v>Mantenimiento del control</v>
      </c>
      <c r="G43" s="95">
        <f>+VLOOKUP(A43,'Estado SCI'!$A$16:$L$59,12,0)</f>
        <v>120.85123456780001</v>
      </c>
      <c r="H43" s="95">
        <f t="shared" si="0"/>
        <v>42</v>
      </c>
      <c r="I43" s="95" t="str">
        <f>+IF(VLOOKUP(A43,'Estado SCI'!$A$16:$G$59,7,0)="","",VLOOKUP(A43,'Estado SCI'!$A$16:$G$59,7,0))</f>
        <v>Si</v>
      </c>
      <c r="J43" s="96">
        <f t="shared" si="2"/>
        <v>1</v>
      </c>
      <c r="K43" s="97">
        <f t="shared" si="1"/>
        <v>0.9</v>
      </c>
    </row>
    <row r="44" spans="1:11" x14ac:dyDescent="0.25">
      <c r="A44" s="95" t="s">
        <v>189</v>
      </c>
      <c r="B44" s="95" t="s">
        <v>97</v>
      </c>
      <c r="C44" s="95" t="s">
        <v>73</v>
      </c>
      <c r="D44" s="95" t="s">
        <v>42</v>
      </c>
      <c r="E44" s="95" t="s">
        <v>111</v>
      </c>
      <c r="F44" s="95" t="str">
        <f>+VLOOKUP(A44,'Estado SCI'!$A$16:$I$59,9,0)</f>
        <v>Mantenimiento del control</v>
      </c>
      <c r="G44" s="95">
        <f>+VLOOKUP(A44,'Estado SCI'!$A$16:$L$59,12,0)</f>
        <v>120.85123456789</v>
      </c>
      <c r="H44" s="95">
        <f t="shared" si="0"/>
        <v>43</v>
      </c>
      <c r="I44" s="95" t="str">
        <f>+IF(VLOOKUP(A44,'Estado SCI'!$A$16:$G$59,7,0)="","",VLOOKUP(A44,'Estado SCI'!$A$16:$G$59,7,0))</f>
        <v>Si</v>
      </c>
      <c r="J44" s="96">
        <f t="shared" si="2"/>
        <v>1</v>
      </c>
      <c r="K44" s="97">
        <f t="shared" si="1"/>
        <v>0.9</v>
      </c>
    </row>
    <row r="45" spans="1:11" x14ac:dyDescent="0.25">
      <c r="A45" s="95" t="s">
        <v>190</v>
      </c>
      <c r="B45" s="95" t="s">
        <v>97</v>
      </c>
      <c r="C45" s="95" t="s">
        <v>73</v>
      </c>
      <c r="D45" s="95" t="s">
        <v>44</v>
      </c>
      <c r="E45" s="95" t="s">
        <v>112</v>
      </c>
      <c r="F45" s="95" t="str">
        <f>+VLOOKUP(A45,'Estado SCI'!$A$16:$I$59,9,0)</f>
        <v>Mantenimiento del control</v>
      </c>
      <c r="G45" s="95">
        <f>+VLOOKUP(A45,'Estado SCI'!$A$16:$L$59,12,0)</f>
        <v>120.851234567891</v>
      </c>
      <c r="H45" s="95">
        <f t="shared" si="0"/>
        <v>44</v>
      </c>
      <c r="I45" s="95" t="str">
        <f>+IF(VLOOKUP(A45,'Estado SCI'!$A$16:$G$59,7,0)="","",VLOOKUP(A45,'Estado SCI'!$A$16:$G$59,7,0))</f>
        <v>Si</v>
      </c>
      <c r="J45" s="96">
        <f t="shared" si="2"/>
        <v>1</v>
      </c>
      <c r="K45" s="97">
        <f t="shared" si="1"/>
        <v>0.9</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Instructivo</vt:lpstr>
      <vt:lpstr>Estado SCI</vt:lpstr>
      <vt:lpstr>Análisis Resultados</vt:lpstr>
      <vt:lpstr>Conclusión</vt:lpstr>
      <vt:lpstr>Hoja1</vt:lpstr>
      <vt:lpstr>Conclusión!Área_de_impresión</vt:lpstr>
      <vt:lpstr>'Estado SCI'!Área_de_impresión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PAPSIVI</cp:lastModifiedBy>
  <cp:revision/>
  <cp:lastPrinted>2024-07-16T20:49:48Z</cp:lastPrinted>
  <dcterms:created xsi:type="dcterms:W3CDTF">2020-04-28T13:58:09Z</dcterms:created>
  <dcterms:modified xsi:type="dcterms:W3CDTF">2024-07-16T21:18:05Z</dcterms:modified>
  <cp:category/>
  <cp:contentStatus/>
</cp:coreProperties>
</file>